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y\Desktop\bukken_kanri_Rev2018_08_30\"/>
    </mc:Choice>
  </mc:AlternateContent>
  <xr:revisionPtr revIDLastSave="0" documentId="10_ncr:8100000_{BDA4B2C0-987A-43AC-A6E2-5EF9EB9863C7}" xr6:coauthVersionLast="34" xr6:coauthVersionMax="34" xr10:uidLastSave="{00000000-0000-0000-0000-000000000000}"/>
  <bookViews>
    <workbookView xWindow="0" yWindow="0" windowWidth="38400" windowHeight="17160" tabRatio="794" activeTab="2" xr2:uid="{E6740D8D-4D96-4AB7-9DEB-C690BBE08A66}"/>
  </bookViews>
  <sheets>
    <sheet name="ID" sheetId="2" r:id="rId1"/>
    <sheet name="Pivot" sheetId="10" r:id="rId2"/>
    <sheet name="企業概要" sheetId="1" r:id="rId3"/>
    <sheet name="物件概要" sheetId="3" r:id="rId4"/>
    <sheet name="借入サマリー" sheetId="5" r:id="rId5"/>
    <sheet name="借入金一覧" sheetId="4" r:id="rId6"/>
    <sheet name="減価償却" sheetId="6" r:id="rId7"/>
    <sheet name="賃料集計" sheetId="11" r:id="rId8"/>
    <sheet name="賃料内訳" sheetId="7" r:id="rId9"/>
    <sheet name="BM費用集計" sheetId="8" r:id="rId10"/>
    <sheet name="筆一覧と評価額" sheetId="9" r:id="rId11"/>
    <sheet name="相続関係図" sheetId="12" r:id="rId12"/>
    <sheet name="2015末PL" sheetId="19" r:id="rId13"/>
    <sheet name="2015末BS" sheetId="20" r:id="rId14"/>
    <sheet name="2016末PL" sheetId="18" r:id="rId15"/>
    <sheet name="2016末BS" sheetId="17" r:id="rId16"/>
    <sheet name="2017末PL" sheetId="15" r:id="rId17"/>
    <sheet name="2017末BS" sheetId="16" r:id="rId18"/>
    <sheet name="2018-06試算表PL" sheetId="13" r:id="rId19"/>
    <sheet name="2018-06試算表BS" sheetId="14" r:id="rId20"/>
  </sheets>
  <definedNames>
    <definedName name="chinryou_table">賃料内訳!$A$3:$P$1001</definedName>
    <definedName name="fude">筆一覧と評価額!$A:$Z</definedName>
    <definedName name="id_list">ID!$A:$AT</definedName>
    <definedName name="kariire">借入金一覧!$A:$Y</definedName>
    <definedName name="kinyushisan">企業概要!$A$49:$A$70</definedName>
    <definedName name="kinyushisan2">企業概要!$K$49:$K$70</definedName>
    <definedName name="_xlnm.Print_Area" localSheetId="6">減価償却!$A$1:$M$34</definedName>
    <definedName name="_xlnm.Print_Area" localSheetId="5">借入金一覧!$A$1:$X$26</definedName>
    <definedName name="_xlnm.Print_Area" localSheetId="11">相続関係図!$A$1:$G$55</definedName>
    <definedName name="_xlnm.Print_Area" localSheetId="10">筆一覧と評価額!$A$1:$M$32</definedName>
    <definedName name="_xlnm.Print_Titles" localSheetId="8">賃料内訳!$3:$3</definedName>
    <definedName name="shoukyaku_table">減価償却!$A:$M</definedName>
  </definedNames>
  <calcPr calcId="162913"/>
  <pivotCaches>
    <pivotCache cacheId="54" r:id="rId21"/>
    <pivotCache cacheId="59" r:id="rId22"/>
    <pivotCache cacheId="63" r:id="rId23"/>
    <pivotCache cacheId="68" r:id="rId24"/>
    <pivotCache cacheId="72" r:id="rId25"/>
    <pivotCache cacheId="76" r:id="rId26"/>
    <pivotCache cacheId="81" r:id="rId27"/>
    <pivotCache cacheId="85" r:id="rId2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 r="A1" i="11"/>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4" i="7"/>
  <c r="L18" i="7"/>
  <c r="M18" i="7" s="1"/>
  <c r="L9" i="1"/>
  <c r="L10" i="1"/>
  <c r="L11" i="1"/>
  <c r="L12" i="1"/>
  <c r="L13" i="1"/>
  <c r="L14" i="1"/>
  <c r="L15" i="1"/>
  <c r="L16" i="1"/>
  <c r="L17" i="1"/>
  <c r="L18" i="1"/>
  <c r="L19" i="1"/>
  <c r="L8" i="1"/>
  <c r="K9" i="1"/>
  <c r="K10" i="1"/>
  <c r="K11" i="1"/>
  <c r="K12" i="1"/>
  <c r="K13" i="1"/>
  <c r="K14" i="1"/>
  <c r="K15" i="1"/>
  <c r="K16" i="1"/>
  <c r="K17" i="1"/>
  <c r="K18" i="1"/>
  <c r="K19" i="1"/>
  <c r="K8" i="1"/>
  <c r="J19" i="1"/>
  <c r="J9" i="1"/>
  <c r="J10" i="1"/>
  <c r="J11" i="1"/>
  <c r="J12" i="1"/>
  <c r="J13" i="1"/>
  <c r="J14" i="1"/>
  <c r="J15" i="1"/>
  <c r="J16" i="1"/>
  <c r="J17" i="1"/>
  <c r="J18" i="1"/>
  <c r="J8" i="1"/>
  <c r="I9" i="1"/>
  <c r="I10" i="1"/>
  <c r="I11" i="1"/>
  <c r="I12" i="1"/>
  <c r="I13" i="1"/>
  <c r="I14" i="1"/>
  <c r="I15" i="1"/>
  <c r="I16" i="1"/>
  <c r="I17" i="1"/>
  <c r="I18" i="1"/>
  <c r="I19" i="1"/>
  <c r="I8" i="1"/>
  <c r="H9" i="1"/>
  <c r="H10" i="1"/>
  <c r="H11" i="1"/>
  <c r="H12" i="1"/>
  <c r="H13" i="1"/>
  <c r="H14" i="1"/>
  <c r="H15" i="1"/>
  <c r="H16" i="1"/>
  <c r="H17" i="1"/>
  <c r="H18" i="1"/>
  <c r="H19" i="1"/>
  <c r="H8" i="1"/>
  <c r="G9" i="1"/>
  <c r="G10" i="1"/>
  <c r="G11" i="1"/>
  <c r="G12" i="1"/>
  <c r="G13" i="1"/>
  <c r="G14" i="1"/>
  <c r="G15" i="1"/>
  <c r="G16" i="1"/>
  <c r="G17" i="1"/>
  <c r="G18" i="1"/>
  <c r="G19" i="1"/>
  <c r="G8" i="1"/>
  <c r="F9" i="1"/>
  <c r="F10" i="1"/>
  <c r="F11" i="1"/>
  <c r="F12" i="1"/>
  <c r="F13" i="1"/>
  <c r="F14" i="1"/>
  <c r="F15" i="1"/>
  <c r="F16" i="1"/>
  <c r="F17" i="1"/>
  <c r="F18" i="1"/>
  <c r="F19" i="1"/>
  <c r="F8" i="1"/>
  <c r="E9" i="1"/>
  <c r="E10" i="1"/>
  <c r="E11" i="1"/>
  <c r="E12" i="1"/>
  <c r="E13" i="1"/>
  <c r="E14" i="1"/>
  <c r="E15" i="1"/>
  <c r="E16" i="1"/>
  <c r="E17" i="1"/>
  <c r="E18" i="1"/>
  <c r="E19" i="1"/>
  <c r="E8" i="1"/>
  <c r="D9" i="1"/>
  <c r="D10" i="1"/>
  <c r="D11" i="1"/>
  <c r="D12" i="1"/>
  <c r="D13" i="1"/>
  <c r="D14" i="1"/>
  <c r="D15" i="1"/>
  <c r="D16" i="1"/>
  <c r="D17" i="1"/>
  <c r="D18" i="1"/>
  <c r="D19" i="1"/>
  <c r="D8" i="1"/>
  <c r="B9" i="1"/>
  <c r="B10" i="1"/>
  <c r="B11" i="1"/>
  <c r="B12" i="1"/>
  <c r="B13" i="1"/>
  <c r="B14" i="1"/>
  <c r="B15" i="1"/>
  <c r="B16" i="1"/>
  <c r="B17" i="1"/>
  <c r="B18" i="1"/>
  <c r="B19" i="1"/>
  <c r="B8" i="1"/>
  <c r="B2" i="3"/>
  <c r="M121" i="7"/>
  <c r="M120" i="7"/>
  <c r="M119" i="7"/>
  <c r="M118" i="7"/>
  <c r="M117" i="7"/>
  <c r="A77" i="3"/>
  <c r="A76" i="3"/>
  <c r="A75" i="3"/>
  <c r="A54" i="3"/>
  <c r="E45" i="3"/>
  <c r="F45" i="3"/>
  <c r="G45" i="3"/>
  <c r="H45" i="3"/>
  <c r="I45" i="3"/>
  <c r="J45" i="3"/>
  <c r="K45" i="3"/>
  <c r="L45" i="3"/>
  <c r="M45" i="3"/>
  <c r="N45" i="3"/>
  <c r="O45" i="3"/>
  <c r="P45" i="3"/>
  <c r="L116" i="7"/>
  <c r="M116" i="7" s="1"/>
  <c r="M115" i="7"/>
  <c r="L115" i="7"/>
  <c r="L114" i="7"/>
  <c r="M114" i="7" s="1"/>
  <c r="L113" i="7"/>
  <c r="M113" i="7" s="1"/>
  <c r="L112" i="7"/>
  <c r="M112" i="7" s="1"/>
  <c r="L111" i="7"/>
  <c r="M111" i="7" s="1"/>
  <c r="K110" i="7"/>
  <c r="L110" i="7" s="1"/>
  <c r="M110" i="7" s="1"/>
  <c r="K109" i="7"/>
  <c r="L109" i="7" s="1"/>
  <c r="M109" i="7" s="1"/>
  <c r="L108" i="7"/>
  <c r="M108" i="7" s="1"/>
  <c r="L107" i="7"/>
  <c r="M107" i="7" s="1"/>
  <c r="L106" i="7"/>
  <c r="L105" i="7"/>
  <c r="L104" i="7"/>
  <c r="M104" i="7" s="1"/>
  <c r="M103" i="7"/>
  <c r="L103" i="7"/>
  <c r="L102" i="7"/>
  <c r="M102" i="7" s="1"/>
  <c r="L101" i="7"/>
  <c r="M101" i="7" s="1"/>
  <c r="L100" i="7"/>
  <c r="M100" i="7" s="1"/>
  <c r="L99" i="7"/>
  <c r="M99" i="7" s="1"/>
  <c r="L98" i="7"/>
  <c r="M98" i="7" s="1"/>
  <c r="L97" i="7"/>
  <c r="M97" i="7" s="1"/>
  <c r="L96" i="7"/>
  <c r="M96" i="7" s="1"/>
  <c r="K96" i="7"/>
  <c r="K95" i="7"/>
  <c r="L95" i="7" s="1"/>
  <c r="M95" i="7" s="1"/>
  <c r="L94" i="7"/>
  <c r="M94" i="7" s="1"/>
  <c r="L93" i="7"/>
  <c r="M93" i="7" s="1"/>
  <c r="L92" i="7"/>
  <c r="L91" i="7"/>
  <c r="L90" i="7"/>
  <c r="M90" i="7" s="1"/>
  <c r="L89" i="7"/>
  <c r="M89" i="7" s="1"/>
  <c r="L88" i="7"/>
  <c r="M88" i="7" s="1"/>
  <c r="M87" i="7"/>
  <c r="L87" i="7"/>
  <c r="M86" i="7"/>
  <c r="L86" i="7"/>
  <c r="L85" i="7"/>
  <c r="M85" i="7" s="1"/>
  <c r="L84" i="7"/>
  <c r="M84" i="7" s="1"/>
  <c r="L83" i="7"/>
  <c r="M83" i="7" s="1"/>
  <c r="K82" i="7"/>
  <c r="L82" i="7" s="1"/>
  <c r="M82" i="7" s="1"/>
  <c r="L81" i="7"/>
  <c r="M81" i="7" s="1"/>
  <c r="K81" i="7"/>
  <c r="L80" i="7"/>
  <c r="M80" i="7" s="1"/>
  <c r="L79" i="7"/>
  <c r="M79" i="7" s="1"/>
  <c r="L78" i="7"/>
  <c r="L77" i="7"/>
  <c r="L76" i="7"/>
  <c r="M76" i="7" s="1"/>
  <c r="M75" i="7"/>
  <c r="L75" i="7"/>
  <c r="L74" i="7"/>
  <c r="M74" i="7" s="1"/>
  <c r="L73" i="7"/>
  <c r="M73" i="7" s="1"/>
  <c r="L72" i="7"/>
  <c r="M72" i="7" s="1"/>
  <c r="L71" i="7"/>
  <c r="M71" i="7" s="1"/>
  <c r="L70" i="7"/>
  <c r="M70" i="7" s="1"/>
  <c r="L69" i="7"/>
  <c r="M69" i="7" s="1"/>
  <c r="L68" i="7"/>
  <c r="M68" i="7" s="1"/>
  <c r="K68" i="7"/>
  <c r="K67" i="7"/>
  <c r="L67" i="7" s="1"/>
  <c r="M67" i="7" s="1"/>
  <c r="L66" i="7"/>
  <c r="M66" i="7" s="1"/>
  <c r="L65" i="7"/>
  <c r="M65" i="7" s="1"/>
  <c r="L64" i="7"/>
  <c r="L63" i="7"/>
  <c r="L62" i="7"/>
  <c r="M62" i="7" s="1"/>
  <c r="L61" i="7"/>
  <c r="M61" i="7" s="1"/>
  <c r="L60" i="7"/>
  <c r="M60" i="7" s="1"/>
  <c r="L59" i="7"/>
  <c r="M59" i="7" s="1"/>
  <c r="L58" i="7"/>
  <c r="M58" i="7" s="1"/>
  <c r="L57" i="7"/>
  <c r="M57" i="7" s="1"/>
  <c r="L56" i="7"/>
  <c r="M56" i="7" s="1"/>
  <c r="L55" i="7"/>
  <c r="M55" i="7" s="1"/>
  <c r="L54" i="7"/>
  <c r="M54" i="7" s="1"/>
  <c r="K54" i="7"/>
  <c r="K53" i="7"/>
  <c r="L53" i="7" s="1"/>
  <c r="M53" i="7" s="1"/>
  <c r="L52" i="7"/>
  <c r="M52" i="7" s="1"/>
  <c r="L51" i="7"/>
  <c r="M51" i="7" s="1"/>
  <c r="L50" i="7"/>
  <c r="L49" i="7"/>
  <c r="L48" i="7"/>
  <c r="M48" i="7" s="1"/>
  <c r="L47" i="7"/>
  <c r="M47" i="7" s="1"/>
  <c r="L46" i="7"/>
  <c r="M46" i="7" s="1"/>
  <c r="L45" i="7"/>
  <c r="M45" i="7" s="1"/>
  <c r="L44" i="7"/>
  <c r="M44" i="7" s="1"/>
  <c r="L43" i="7"/>
  <c r="M43" i="7" s="1"/>
  <c r="L42" i="7"/>
  <c r="M42" i="7" s="1"/>
  <c r="L41" i="7"/>
  <c r="M41" i="7" s="1"/>
  <c r="K40" i="7"/>
  <c r="L40" i="7" s="1"/>
  <c r="M40" i="7" s="1"/>
  <c r="K39" i="7"/>
  <c r="L39" i="7" s="1"/>
  <c r="M39" i="7" s="1"/>
  <c r="L38" i="7"/>
  <c r="M38" i="7" s="1"/>
  <c r="L37" i="7"/>
  <c r="M37" i="7" s="1"/>
  <c r="L36" i="7"/>
  <c r="L35" i="7"/>
  <c r="L34" i="7"/>
  <c r="M34" i="7" s="1"/>
  <c r="L33" i="7"/>
  <c r="M33" i="7" s="1"/>
  <c r="L32" i="7"/>
  <c r="M32" i="7" s="1"/>
  <c r="L31" i="7"/>
  <c r="M31" i="7" s="1"/>
  <c r="L30" i="7"/>
  <c r="M30" i="7" s="1"/>
  <c r="L29" i="7"/>
  <c r="M29" i="7" s="1"/>
  <c r="L28" i="7"/>
  <c r="M28" i="7" s="1"/>
  <c r="L27" i="7"/>
  <c r="M27" i="7" s="1"/>
  <c r="K26" i="7"/>
  <c r="L26" i="7" s="1"/>
  <c r="M26" i="7" s="1"/>
  <c r="K25" i="7"/>
  <c r="L25" i="7" s="1"/>
  <c r="M25" i="7" s="1"/>
  <c r="L24" i="7"/>
  <c r="M24" i="7" s="1"/>
  <c r="L23" i="7"/>
  <c r="M23" i="7" s="1"/>
  <c r="L22" i="7"/>
  <c r="L21" i="7"/>
  <c r="L20" i="7"/>
  <c r="M20" i="7" s="1"/>
  <c r="M19" i="7"/>
  <c r="L19" i="7"/>
  <c r="K10" i="7"/>
  <c r="L10" i="7" s="1"/>
  <c r="M10" i="7" s="1"/>
  <c r="K11" i="7"/>
  <c r="L11" i="7" s="1"/>
  <c r="M11" i="7" s="1"/>
  <c r="M9" i="7"/>
  <c r="M13" i="7"/>
  <c r="M14" i="7"/>
  <c r="M15" i="7"/>
  <c r="M16" i="7"/>
  <c r="M17" i="7"/>
  <c r="M8" i="7"/>
  <c r="M5" i="7"/>
  <c r="M4" i="7"/>
  <c r="L5" i="7"/>
  <c r="L6" i="7"/>
  <c r="L7" i="7"/>
  <c r="L8" i="7"/>
  <c r="L9" i="7"/>
  <c r="L12" i="7"/>
  <c r="M12" i="7" s="1"/>
  <c r="L13" i="7"/>
  <c r="L14" i="7"/>
  <c r="L15" i="7"/>
  <c r="L16" i="7"/>
  <c r="L17" i="7"/>
  <c r="L4" i="7"/>
  <c r="E40" i="3"/>
  <c r="F40" i="3"/>
  <c r="G40" i="3"/>
  <c r="H40" i="3"/>
  <c r="I40" i="3"/>
  <c r="J40" i="3"/>
  <c r="K40" i="3"/>
  <c r="L40" i="3"/>
  <c r="M40" i="3"/>
  <c r="N40" i="3"/>
  <c r="O40" i="3"/>
  <c r="P40" i="3"/>
  <c r="D41" i="3"/>
  <c r="E41" i="3"/>
  <c r="F41" i="3"/>
  <c r="G41" i="3"/>
  <c r="H41" i="3"/>
  <c r="I41" i="3"/>
  <c r="J41" i="3"/>
  <c r="K41" i="3"/>
  <c r="L41" i="3"/>
  <c r="M41" i="3"/>
  <c r="N41" i="3"/>
  <c r="O41" i="3"/>
  <c r="P41" i="3"/>
  <c r="D42" i="3"/>
  <c r="E42" i="3"/>
  <c r="F42" i="3"/>
  <c r="G42" i="3"/>
  <c r="H42" i="3"/>
  <c r="I42" i="3"/>
  <c r="J42" i="3"/>
  <c r="K42" i="3"/>
  <c r="L42" i="3"/>
  <c r="M42" i="3"/>
  <c r="N42" i="3"/>
  <c r="O42" i="3"/>
  <c r="P42" i="3"/>
  <c r="D43" i="3"/>
  <c r="E43" i="3"/>
  <c r="F43" i="3"/>
  <c r="G43" i="3"/>
  <c r="H43" i="3"/>
  <c r="I43" i="3"/>
  <c r="J43" i="3"/>
  <c r="K43" i="3"/>
  <c r="L43" i="3"/>
  <c r="M43" i="3"/>
  <c r="N43" i="3"/>
  <c r="O43" i="3"/>
  <c r="P43" i="3"/>
  <c r="E44" i="3"/>
  <c r="F44" i="3"/>
  <c r="G44" i="3"/>
  <c r="H44" i="3"/>
  <c r="I44" i="3"/>
  <c r="J44" i="3"/>
  <c r="K44" i="3"/>
  <c r="L44" i="3"/>
  <c r="M44" i="3"/>
  <c r="N44" i="3"/>
  <c r="O44" i="3"/>
  <c r="P44" i="3"/>
  <c r="C43" i="3"/>
  <c r="C42" i="3"/>
  <c r="C41" i="3"/>
  <c r="X40" i="2"/>
  <c r="X39" i="2"/>
  <c r="X38" i="2"/>
  <c r="X37" i="2"/>
  <c r="X36" i="2"/>
  <c r="X35" i="2"/>
  <c r="X4" i="2"/>
  <c r="D40" i="3" s="1"/>
  <c r="X5" i="2"/>
  <c r="X6" i="2"/>
  <c r="X7" i="2"/>
  <c r="X8" i="2"/>
  <c r="X9" i="2"/>
  <c r="X10" i="2"/>
  <c r="X3" i="2"/>
  <c r="C40" i="3" s="1"/>
  <c r="P76" i="3"/>
  <c r="P75" i="3"/>
  <c r="P73" i="3"/>
  <c r="P67" i="3"/>
  <c r="P65" i="3"/>
  <c r="P64" i="3"/>
  <c r="P58" i="3"/>
  <c r="P57" i="3"/>
  <c r="P69" i="3" s="1"/>
  <c r="P56" i="3"/>
  <c r="P55" i="3"/>
  <c r="P54" i="3"/>
  <c r="P52" i="3"/>
  <c r="P51" i="3"/>
  <c r="P50" i="3"/>
  <c r="P48" i="3"/>
  <c r="P47" i="3"/>
  <c r="P36" i="3"/>
  <c r="P35" i="3"/>
  <c r="P34" i="3"/>
  <c r="P32" i="3"/>
  <c r="P25" i="3"/>
  <c r="P17" i="3"/>
  <c r="P18" i="3" s="1"/>
  <c r="P16" i="3"/>
  <c r="P12" i="3"/>
  <c r="P11" i="3"/>
  <c r="P10" i="3"/>
  <c r="P9" i="3"/>
  <c r="P8" i="3"/>
  <c r="P7" i="3"/>
  <c r="P1" i="3"/>
  <c r="P81" i="3" s="1"/>
  <c r="O76" i="3"/>
  <c r="O75" i="3"/>
  <c r="O73" i="3"/>
  <c r="O67" i="3"/>
  <c r="O65" i="3"/>
  <c r="O64" i="3"/>
  <c r="O58" i="3"/>
  <c r="O57" i="3"/>
  <c r="O69" i="3" s="1"/>
  <c r="O56" i="3"/>
  <c r="O55" i="3"/>
  <c r="O54" i="3"/>
  <c r="O52" i="3"/>
  <c r="O51" i="3"/>
  <c r="O50" i="3"/>
  <c r="O48" i="3"/>
  <c r="O47" i="3"/>
  <c r="O36" i="3"/>
  <c r="O35" i="3"/>
  <c r="O34" i="3"/>
  <c r="O32" i="3"/>
  <c r="O25" i="3"/>
  <c r="O17" i="3"/>
  <c r="O18" i="3" s="1"/>
  <c r="O16" i="3"/>
  <c r="O12" i="3"/>
  <c r="O11" i="3"/>
  <c r="O10" i="3"/>
  <c r="O9" i="3"/>
  <c r="O8" i="3"/>
  <c r="O7" i="3"/>
  <c r="O1" i="3"/>
  <c r="O81" i="3" s="1"/>
  <c r="N76" i="3"/>
  <c r="N75" i="3"/>
  <c r="N73" i="3"/>
  <c r="N67" i="3"/>
  <c r="N65" i="3"/>
  <c r="N64" i="3"/>
  <c r="N58" i="3"/>
  <c r="N57" i="3"/>
  <c r="N69" i="3" s="1"/>
  <c r="N56" i="3"/>
  <c r="N55" i="3"/>
  <c r="N54" i="3"/>
  <c r="N52" i="3"/>
  <c r="N51" i="3"/>
  <c r="N50" i="3"/>
  <c r="N48" i="3"/>
  <c r="N47" i="3"/>
  <c r="N36" i="3"/>
  <c r="N35" i="3"/>
  <c r="N34" i="3"/>
  <c r="N32" i="3"/>
  <c r="N25" i="3"/>
  <c r="N17" i="3"/>
  <c r="N18" i="3" s="1"/>
  <c r="N16" i="3"/>
  <c r="N12" i="3"/>
  <c r="N11" i="3"/>
  <c r="N10" i="3"/>
  <c r="N9" i="3"/>
  <c r="N8" i="3"/>
  <c r="N7" i="3"/>
  <c r="N1" i="3"/>
  <c r="N81" i="3" s="1"/>
  <c r="M76" i="3"/>
  <c r="M75" i="3"/>
  <c r="M73" i="3"/>
  <c r="M67" i="3"/>
  <c r="M65" i="3"/>
  <c r="M64" i="3"/>
  <c r="M58" i="3"/>
  <c r="M57" i="3"/>
  <c r="M69" i="3" s="1"/>
  <c r="M56" i="3"/>
  <c r="M55" i="3"/>
  <c r="M54" i="3"/>
  <c r="M52" i="3"/>
  <c r="M51" i="3"/>
  <c r="M50" i="3"/>
  <c r="M48" i="3"/>
  <c r="M47" i="3"/>
  <c r="M36" i="3"/>
  <c r="M35" i="3"/>
  <c r="M34" i="3"/>
  <c r="M32" i="3"/>
  <c r="M25" i="3"/>
  <c r="M17" i="3"/>
  <c r="M18" i="3" s="1"/>
  <c r="M16" i="3"/>
  <c r="M12" i="3"/>
  <c r="M11" i="3"/>
  <c r="M10" i="3"/>
  <c r="M9" i="3"/>
  <c r="M8" i="3"/>
  <c r="M7" i="3"/>
  <c r="M1" i="3"/>
  <c r="M81" i="3" s="1"/>
  <c r="L76" i="3"/>
  <c r="L75" i="3"/>
  <c r="L73" i="3"/>
  <c r="L67" i="3"/>
  <c r="L65" i="3"/>
  <c r="L64" i="3"/>
  <c r="L58" i="3"/>
  <c r="L57" i="3"/>
  <c r="L69" i="3" s="1"/>
  <c r="L56" i="3"/>
  <c r="L55" i="3"/>
  <c r="L54" i="3"/>
  <c r="L52" i="3"/>
  <c r="L51" i="3"/>
  <c r="L50" i="3"/>
  <c r="L48" i="3"/>
  <c r="L47" i="3"/>
  <c r="L36" i="3"/>
  <c r="L35" i="3"/>
  <c r="L34" i="3"/>
  <c r="L32" i="3"/>
  <c r="L25" i="3"/>
  <c r="L17" i="3"/>
  <c r="L18" i="3" s="1"/>
  <c r="L16" i="3"/>
  <c r="L12" i="3"/>
  <c r="L11" i="3"/>
  <c r="L10" i="3"/>
  <c r="L9" i="3"/>
  <c r="L8" i="3"/>
  <c r="L7" i="3"/>
  <c r="L1" i="3"/>
  <c r="L81" i="3" s="1"/>
  <c r="K76" i="3"/>
  <c r="K75" i="3"/>
  <c r="K73" i="3"/>
  <c r="K67" i="3"/>
  <c r="K65" i="3"/>
  <c r="K64" i="3"/>
  <c r="K58" i="3"/>
  <c r="K57" i="3"/>
  <c r="K69" i="3" s="1"/>
  <c r="K56" i="3"/>
  <c r="K55" i="3"/>
  <c r="K54" i="3"/>
  <c r="K52" i="3"/>
  <c r="K51" i="3"/>
  <c r="K50" i="3"/>
  <c r="K48" i="3"/>
  <c r="K47" i="3"/>
  <c r="K36" i="3"/>
  <c r="K35" i="3"/>
  <c r="K34" i="3"/>
  <c r="K32" i="3"/>
  <c r="K25" i="3"/>
  <c r="K17" i="3"/>
  <c r="K18" i="3" s="1"/>
  <c r="K16" i="3"/>
  <c r="K12" i="3"/>
  <c r="K11" i="3"/>
  <c r="K10" i="3"/>
  <c r="K9" i="3"/>
  <c r="K8" i="3"/>
  <c r="K7" i="3"/>
  <c r="K1" i="3"/>
  <c r="K81" i="3" s="1"/>
  <c r="J76" i="3"/>
  <c r="J75" i="3"/>
  <c r="J73" i="3"/>
  <c r="J67" i="3"/>
  <c r="J65" i="3"/>
  <c r="J64" i="3"/>
  <c r="J58" i="3"/>
  <c r="J57" i="3"/>
  <c r="J69" i="3" s="1"/>
  <c r="J56" i="3"/>
  <c r="J55" i="3"/>
  <c r="J54" i="3"/>
  <c r="J52" i="3"/>
  <c r="J51" i="3"/>
  <c r="J50" i="3"/>
  <c r="J48" i="3"/>
  <c r="J47" i="3"/>
  <c r="J36" i="3"/>
  <c r="J35" i="3"/>
  <c r="J34" i="3"/>
  <c r="J32" i="3"/>
  <c r="J25" i="3"/>
  <c r="J17" i="3"/>
  <c r="J18" i="3" s="1"/>
  <c r="J16" i="3"/>
  <c r="J12" i="3"/>
  <c r="J11" i="3"/>
  <c r="J10" i="3"/>
  <c r="J9" i="3"/>
  <c r="J8" i="3"/>
  <c r="J7" i="3"/>
  <c r="J1" i="3"/>
  <c r="J81" i="3" s="1"/>
  <c r="I76" i="3"/>
  <c r="I75" i="3"/>
  <c r="I73" i="3"/>
  <c r="I67" i="3"/>
  <c r="I65" i="3"/>
  <c r="I64" i="3"/>
  <c r="I58" i="3"/>
  <c r="I57" i="3"/>
  <c r="I69" i="3" s="1"/>
  <c r="I56" i="3"/>
  <c r="I55" i="3"/>
  <c r="I54" i="3"/>
  <c r="I52" i="3"/>
  <c r="I51" i="3"/>
  <c r="I50" i="3"/>
  <c r="I48" i="3"/>
  <c r="I47" i="3"/>
  <c r="I36" i="3"/>
  <c r="I35" i="3"/>
  <c r="I34" i="3"/>
  <c r="I32" i="3"/>
  <c r="I25" i="3"/>
  <c r="I17" i="3"/>
  <c r="I18" i="3" s="1"/>
  <c r="I16" i="3"/>
  <c r="I12" i="3"/>
  <c r="I11" i="3"/>
  <c r="I10" i="3"/>
  <c r="I9" i="3"/>
  <c r="I8" i="3"/>
  <c r="I7" i="3"/>
  <c r="I1" i="3"/>
  <c r="I81" i="3" s="1"/>
  <c r="H76" i="3"/>
  <c r="H75" i="3"/>
  <c r="H73" i="3"/>
  <c r="H67" i="3"/>
  <c r="H65" i="3"/>
  <c r="H64" i="3"/>
  <c r="H58" i="3"/>
  <c r="H57" i="3"/>
  <c r="H69" i="3" s="1"/>
  <c r="H56" i="3"/>
  <c r="H55" i="3"/>
  <c r="H54" i="3"/>
  <c r="H52" i="3"/>
  <c r="H51" i="3"/>
  <c r="H50" i="3"/>
  <c r="H48" i="3"/>
  <c r="H47" i="3"/>
  <c r="H36" i="3"/>
  <c r="H35" i="3"/>
  <c r="H34" i="3"/>
  <c r="H32" i="3"/>
  <c r="H25" i="3"/>
  <c r="H17" i="3"/>
  <c r="H18" i="3" s="1"/>
  <c r="H16" i="3"/>
  <c r="H12" i="3"/>
  <c r="H11" i="3"/>
  <c r="H10" i="3"/>
  <c r="H9" i="3"/>
  <c r="H8" i="3"/>
  <c r="H7" i="3"/>
  <c r="H1" i="3"/>
  <c r="H81" i="3" s="1"/>
  <c r="G76" i="3"/>
  <c r="G75" i="3"/>
  <c r="G73" i="3"/>
  <c r="G67" i="3"/>
  <c r="G65" i="3"/>
  <c r="G64" i="3"/>
  <c r="G58" i="3"/>
  <c r="G57" i="3"/>
  <c r="G69" i="3" s="1"/>
  <c r="G56" i="3"/>
  <c r="G55" i="3"/>
  <c r="G54" i="3"/>
  <c r="G52" i="3"/>
  <c r="G51" i="3"/>
  <c r="G50" i="3"/>
  <c r="G48" i="3"/>
  <c r="G47" i="3"/>
  <c r="G36" i="3"/>
  <c r="G35" i="3"/>
  <c r="G34" i="3"/>
  <c r="G32" i="3"/>
  <c r="G25" i="3"/>
  <c r="G17" i="3"/>
  <c r="G18" i="3" s="1"/>
  <c r="G16" i="3"/>
  <c r="G12" i="3"/>
  <c r="G11" i="3"/>
  <c r="G10" i="3"/>
  <c r="G9" i="3"/>
  <c r="G8" i="3"/>
  <c r="G7" i="3"/>
  <c r="G1" i="3"/>
  <c r="F76" i="3"/>
  <c r="F75" i="3"/>
  <c r="F73" i="3"/>
  <c r="F67" i="3"/>
  <c r="F65" i="3"/>
  <c r="F64" i="3"/>
  <c r="F58" i="3"/>
  <c r="F57" i="3"/>
  <c r="F69" i="3" s="1"/>
  <c r="F56" i="3"/>
  <c r="F55" i="3"/>
  <c r="F54" i="3"/>
  <c r="F52" i="3"/>
  <c r="F51" i="3"/>
  <c r="F50" i="3"/>
  <c r="F48" i="3"/>
  <c r="F47" i="3"/>
  <c r="F36" i="3"/>
  <c r="F35" i="3"/>
  <c r="F34" i="3"/>
  <c r="F32" i="3"/>
  <c r="F25" i="3"/>
  <c r="F17" i="3"/>
  <c r="F18" i="3" s="1"/>
  <c r="F16" i="3"/>
  <c r="F12" i="3"/>
  <c r="F11" i="3"/>
  <c r="F10" i="3"/>
  <c r="F9" i="3"/>
  <c r="F8" i="3"/>
  <c r="F7" i="3"/>
  <c r="F1" i="3"/>
  <c r="E76" i="3"/>
  <c r="E75" i="3"/>
  <c r="E73" i="3"/>
  <c r="E67" i="3"/>
  <c r="E65" i="3"/>
  <c r="E64" i="3"/>
  <c r="E58" i="3"/>
  <c r="E57" i="3"/>
  <c r="E69" i="3" s="1"/>
  <c r="E56" i="3"/>
  <c r="E55" i="3"/>
  <c r="E54" i="3"/>
  <c r="E52" i="3"/>
  <c r="E51" i="3"/>
  <c r="E50" i="3"/>
  <c r="E48" i="3"/>
  <c r="E47" i="3"/>
  <c r="E36" i="3"/>
  <c r="E35" i="3"/>
  <c r="E34" i="3"/>
  <c r="E32" i="3"/>
  <c r="E25" i="3"/>
  <c r="E17" i="3"/>
  <c r="E18" i="3" s="1"/>
  <c r="E16" i="3"/>
  <c r="E12" i="3"/>
  <c r="E11" i="3"/>
  <c r="E10" i="3"/>
  <c r="E9" i="3"/>
  <c r="E8" i="3"/>
  <c r="E7" i="3"/>
  <c r="E1" i="3"/>
  <c r="E81" i="3" s="1"/>
  <c r="D76" i="3"/>
  <c r="D75" i="3"/>
  <c r="D73" i="3"/>
  <c r="D67" i="3"/>
  <c r="D65" i="3"/>
  <c r="D64" i="3"/>
  <c r="D58" i="3"/>
  <c r="D57" i="3"/>
  <c r="D69" i="3" s="1"/>
  <c r="D56" i="3"/>
  <c r="D55" i="3"/>
  <c r="D54" i="3"/>
  <c r="D52" i="3"/>
  <c r="D51" i="3"/>
  <c r="D50" i="3"/>
  <c r="D48" i="3"/>
  <c r="D47" i="3"/>
  <c r="D36" i="3"/>
  <c r="D35" i="3"/>
  <c r="D45" i="3" s="1"/>
  <c r="D34" i="3"/>
  <c r="D32" i="3"/>
  <c r="D25" i="3"/>
  <c r="D17" i="3"/>
  <c r="D18" i="3" s="1"/>
  <c r="D16" i="3"/>
  <c r="D12" i="3"/>
  <c r="D11" i="3"/>
  <c r="D10" i="3"/>
  <c r="D9" i="3"/>
  <c r="D8" i="3"/>
  <c r="D7" i="3"/>
  <c r="D1" i="3"/>
  <c r="D81" i="3" s="1"/>
  <c r="C76" i="3"/>
  <c r="C75" i="3"/>
  <c r="B75" i="3" s="1"/>
  <c r="C73" i="3"/>
  <c r="C67" i="3"/>
  <c r="C65" i="3"/>
  <c r="C64" i="3"/>
  <c r="C58" i="3"/>
  <c r="C52" i="3"/>
  <c r="C51" i="3"/>
  <c r="C57" i="3"/>
  <c r="C56" i="3"/>
  <c r="C55" i="3"/>
  <c r="C54" i="3"/>
  <c r="C50" i="3"/>
  <c r="C48" i="3"/>
  <c r="C47" i="3"/>
  <c r="P23" i="3"/>
  <c r="O23" i="3"/>
  <c r="N21" i="3"/>
  <c r="M21" i="3"/>
  <c r="L63" i="3"/>
  <c r="K21" i="3"/>
  <c r="J63" i="3"/>
  <c r="I62" i="3"/>
  <c r="I13" i="3"/>
  <c r="H60" i="3"/>
  <c r="G21" i="3"/>
  <c r="F28" i="3"/>
  <c r="E60" i="3"/>
  <c r="D20" i="3"/>
  <c r="H23" i="3"/>
  <c r="E62" i="3"/>
  <c r="P60" i="3"/>
  <c r="F20" i="3"/>
  <c r="P63" i="3"/>
  <c r="O63" i="3"/>
  <c r="N63" i="3"/>
  <c r="M23" i="3"/>
  <c r="L28" i="3"/>
  <c r="K24" i="3"/>
  <c r="J28" i="3"/>
  <c r="I27" i="3"/>
  <c r="H20" i="3"/>
  <c r="H24" i="3"/>
  <c r="G20" i="3"/>
  <c r="F22" i="3"/>
  <c r="E23" i="3"/>
  <c r="D23" i="3"/>
  <c r="L61" i="3"/>
  <c r="E20" i="3"/>
  <c r="G23" i="3"/>
  <c r="K19" i="3"/>
  <c r="P28" i="3"/>
  <c r="O28" i="3"/>
  <c r="N28" i="3"/>
  <c r="M62" i="3"/>
  <c r="L62" i="3"/>
  <c r="K63" i="3"/>
  <c r="J62" i="3"/>
  <c r="I15" i="3"/>
  <c r="H19" i="3"/>
  <c r="G19" i="3"/>
  <c r="G15" i="3"/>
  <c r="F21" i="3"/>
  <c r="E22" i="3"/>
  <c r="D22" i="3"/>
  <c r="M28" i="3"/>
  <c r="E61" i="3"/>
  <c r="P24" i="3"/>
  <c r="O62" i="3"/>
  <c r="N62" i="3"/>
  <c r="M24" i="3"/>
  <c r="L27" i="3"/>
  <c r="K28" i="3"/>
  <c r="J27" i="3"/>
  <c r="I61" i="3"/>
  <c r="H22" i="3"/>
  <c r="G63" i="3"/>
  <c r="F19" i="3"/>
  <c r="F63" i="3"/>
  <c r="E19" i="3"/>
  <c r="D21" i="3"/>
  <c r="I24" i="3"/>
  <c r="D28" i="3"/>
  <c r="H13" i="3"/>
  <c r="P62" i="3"/>
  <c r="O27" i="3"/>
  <c r="N27" i="3"/>
  <c r="M63" i="3"/>
  <c r="L22" i="3"/>
  <c r="K60" i="3"/>
  <c r="J61" i="3"/>
  <c r="I60" i="3"/>
  <c r="H21" i="3"/>
  <c r="G62" i="3"/>
  <c r="F15" i="3"/>
  <c r="F13" i="3"/>
  <c r="E21" i="3"/>
  <c r="D19" i="3"/>
  <c r="K62" i="3"/>
  <c r="J15" i="3"/>
  <c r="L19" i="3"/>
  <c r="I20" i="3"/>
  <c r="P27" i="3"/>
  <c r="O61" i="3"/>
  <c r="N61" i="3"/>
  <c r="J60" i="3"/>
  <c r="G27" i="3"/>
  <c r="F27" i="3"/>
  <c r="C63" i="3"/>
  <c r="H61" i="3"/>
  <c r="K41" i="11"/>
  <c r="P61" i="3"/>
  <c r="O22" i="3"/>
  <c r="N24" i="3"/>
  <c r="M27" i="3"/>
  <c r="L60" i="3"/>
  <c r="K27" i="3"/>
  <c r="J24" i="3"/>
  <c r="I22" i="3"/>
  <c r="H63" i="3"/>
  <c r="G28" i="3"/>
  <c r="F62" i="3"/>
  <c r="E63" i="3"/>
  <c r="D62" i="3"/>
  <c r="C62" i="3"/>
  <c r="N19" i="3"/>
  <c r="L20" i="3"/>
  <c r="I23" i="3"/>
  <c r="N60" i="3"/>
  <c r="I63" i="3"/>
  <c r="K21" i="11"/>
  <c r="P22" i="3"/>
  <c r="O21" i="3"/>
  <c r="N23" i="3"/>
  <c r="M61" i="3"/>
  <c r="L24" i="3"/>
  <c r="K61" i="3"/>
  <c r="J23" i="3"/>
  <c r="I21" i="3"/>
  <c r="H28" i="3"/>
  <c r="G61" i="3"/>
  <c r="F61" i="3"/>
  <c r="E28" i="3"/>
  <c r="D63" i="3"/>
  <c r="C61" i="3"/>
  <c r="M19" i="3"/>
  <c r="F24" i="3"/>
  <c r="O24" i="3"/>
  <c r="J20" i="3"/>
  <c r="G22" i="3"/>
  <c r="P20" i="3"/>
  <c r="P21" i="3"/>
  <c r="O60" i="3"/>
  <c r="N22" i="3"/>
  <c r="M60" i="3"/>
  <c r="L23" i="3"/>
  <c r="K23" i="3"/>
  <c r="J21" i="3"/>
  <c r="I19" i="3"/>
  <c r="H62" i="3"/>
  <c r="G24" i="3"/>
  <c r="F23" i="3"/>
  <c r="E24" i="3"/>
  <c r="D27" i="3"/>
  <c r="C60" i="3"/>
  <c r="P13" i="3"/>
  <c r="K20" i="3"/>
  <c r="D60" i="3"/>
  <c r="D24" i="3"/>
  <c r="P19" i="3"/>
  <c r="O20" i="3"/>
  <c r="N20" i="3"/>
  <c r="M20" i="3"/>
  <c r="M15" i="3"/>
  <c r="L21" i="3"/>
  <c r="K22" i="3"/>
  <c r="J22" i="3"/>
  <c r="I28" i="3"/>
  <c r="H27" i="3"/>
  <c r="G60" i="3"/>
  <c r="F60" i="3"/>
  <c r="E27" i="3"/>
  <c r="D61" i="3"/>
  <c r="O19" i="3"/>
  <c r="J19" i="3"/>
  <c r="M22" i="3"/>
  <c r="B57" i="3"/>
  <c r="B55" i="3"/>
  <c r="B56" i="3"/>
  <c r="B54" i="3"/>
  <c r="E42" i="1"/>
  <c r="E43" i="1"/>
  <c r="B47" i="3"/>
  <c r="C29" i="1" l="1"/>
  <c r="C30" i="1"/>
  <c r="C28" i="1"/>
  <c r="B67" i="3"/>
  <c r="C26" i="1" s="1"/>
  <c r="B76" i="3"/>
  <c r="C27" i="1"/>
  <c r="N37" i="3"/>
  <c r="I37" i="3"/>
  <c r="E49" i="3"/>
  <c r="J37" i="3"/>
  <c r="M37" i="3"/>
  <c r="J49" i="3"/>
  <c r="P37" i="3"/>
  <c r="F37" i="3"/>
  <c r="P49" i="3"/>
  <c r="O49" i="3"/>
  <c r="L37" i="3"/>
  <c r="G37" i="3"/>
  <c r="H49" i="3"/>
  <c r="G49" i="3"/>
  <c r="E37" i="3"/>
  <c r="K49" i="3"/>
  <c r="O37" i="3"/>
  <c r="K37" i="3"/>
  <c r="I49" i="3"/>
  <c r="H37" i="3"/>
  <c r="P31" i="3"/>
  <c r="P30" i="3"/>
  <c r="P29" i="3"/>
  <c r="P74" i="3"/>
  <c r="P14" i="3"/>
  <c r="N49" i="3"/>
  <c r="O31" i="3"/>
  <c r="O30" i="3"/>
  <c r="O29" i="3"/>
  <c r="O74" i="3"/>
  <c r="N31" i="3"/>
  <c r="N30" i="3"/>
  <c r="N29" i="3"/>
  <c r="N74" i="3"/>
  <c r="M49" i="3"/>
  <c r="M30" i="3"/>
  <c r="M31" i="3"/>
  <c r="M29" i="3"/>
  <c r="M74" i="3"/>
  <c r="L49" i="3"/>
  <c r="L31" i="3"/>
  <c r="L30" i="3"/>
  <c r="L29" i="3"/>
  <c r="L74" i="3"/>
  <c r="K31" i="3"/>
  <c r="K30" i="3"/>
  <c r="K29" i="3"/>
  <c r="K74" i="3"/>
  <c r="J31" i="3"/>
  <c r="J30" i="3"/>
  <c r="J29" i="3"/>
  <c r="J74" i="3"/>
  <c r="I14" i="3"/>
  <c r="I29" i="3"/>
  <c r="I74" i="3"/>
  <c r="I31" i="3"/>
  <c r="I30" i="3"/>
  <c r="H14" i="3"/>
  <c r="H31" i="3"/>
  <c r="H30" i="3"/>
  <c r="H29" i="3"/>
  <c r="H74" i="3"/>
  <c r="F49" i="3"/>
  <c r="G29" i="3"/>
  <c r="G74" i="3"/>
  <c r="G30" i="3"/>
  <c r="G31" i="3"/>
  <c r="G81" i="3"/>
  <c r="F14" i="3"/>
  <c r="F74" i="3"/>
  <c r="F29" i="3"/>
  <c r="F31" i="3"/>
  <c r="F30" i="3"/>
  <c r="F81" i="3"/>
  <c r="E30" i="3"/>
  <c r="E31" i="3"/>
  <c r="E29" i="3"/>
  <c r="E74" i="3"/>
  <c r="D37" i="3"/>
  <c r="D49" i="3"/>
  <c r="D30" i="3"/>
  <c r="D31" i="3"/>
  <c r="D29" i="3"/>
  <c r="D74" i="3"/>
  <c r="C36" i="3"/>
  <c r="B36" i="3" s="1"/>
  <c r="C35" i="3"/>
  <c r="C34" i="3"/>
  <c r="C32" i="3"/>
  <c r="O13" i="3"/>
  <c r="E15" i="3"/>
  <c r="D13" i="3"/>
  <c r="D15" i="3"/>
  <c r="N13" i="3"/>
  <c r="N15" i="3"/>
  <c r="L15" i="3"/>
  <c r="L13" i="3"/>
  <c r="M13" i="3"/>
  <c r="K13" i="3"/>
  <c r="K15" i="3"/>
  <c r="O15" i="3"/>
  <c r="J13" i="3"/>
  <c r="G13" i="3"/>
  <c r="H15" i="3"/>
  <c r="P15" i="3"/>
  <c r="E13" i="3"/>
  <c r="B35" i="3" l="1"/>
  <c r="C45" i="3"/>
  <c r="B45" i="3" s="1"/>
  <c r="O14" i="3"/>
  <c r="N14" i="3"/>
  <c r="M14" i="3"/>
  <c r="L14" i="3"/>
  <c r="K14" i="3"/>
  <c r="J14" i="3"/>
  <c r="G14" i="3"/>
  <c r="E14" i="3"/>
  <c r="D14" i="3"/>
  <c r="C25" i="3"/>
  <c r="C17" i="3"/>
  <c r="C16" i="3"/>
  <c r="C5" i="9"/>
  <c r="C4" i="9"/>
  <c r="C28" i="9"/>
  <c r="C29" i="9"/>
  <c r="C30" i="9"/>
  <c r="C31" i="9"/>
  <c r="C32" i="9"/>
  <c r="C7" i="9"/>
  <c r="C8" i="9"/>
  <c r="C9" i="9"/>
  <c r="C10" i="9"/>
  <c r="C11" i="9"/>
  <c r="C12" i="9"/>
  <c r="C13" i="9"/>
  <c r="C14" i="9"/>
  <c r="C15" i="9"/>
  <c r="C16" i="9"/>
  <c r="C17" i="9"/>
  <c r="C18" i="9"/>
  <c r="C19" i="9"/>
  <c r="C20" i="9"/>
  <c r="C21" i="9"/>
  <c r="C22" i="9"/>
  <c r="C23" i="9"/>
  <c r="C24" i="9"/>
  <c r="C25" i="9"/>
  <c r="C26" i="9"/>
  <c r="C27" i="9"/>
  <c r="C6" i="9"/>
  <c r="C3" i="9"/>
  <c r="I31" i="8"/>
  <c r="I30" i="8"/>
  <c r="I29" i="8"/>
  <c r="I28" i="8"/>
  <c r="I27" i="8"/>
  <c r="I26" i="8"/>
  <c r="I25" i="8"/>
  <c r="I24" i="8"/>
  <c r="I23" i="8"/>
  <c r="I22" i="8"/>
  <c r="I7" i="8"/>
  <c r="I8" i="8"/>
  <c r="I9" i="8"/>
  <c r="I10" i="8"/>
  <c r="I11" i="8"/>
  <c r="I12" i="8"/>
  <c r="I13" i="8"/>
  <c r="I14" i="8"/>
  <c r="I15" i="8"/>
  <c r="I16" i="8"/>
  <c r="I17" i="8"/>
  <c r="I18" i="8"/>
  <c r="I19" i="8"/>
  <c r="I20" i="8"/>
  <c r="I21" i="8"/>
  <c r="I6" i="8"/>
  <c r="I5" i="8"/>
  <c r="I4" i="8"/>
  <c r="L119" i="7"/>
  <c r="L120" i="7"/>
  <c r="L121" i="7"/>
  <c r="L118" i="7"/>
  <c r="B123" i="7"/>
  <c r="B118" i="7"/>
  <c r="B119" i="7"/>
  <c r="B120" i="7"/>
  <c r="B121" i="7"/>
  <c r="B122" i="7"/>
  <c r="L117"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C20" i="3"/>
  <c r="C24" i="3"/>
  <c r="C28" i="3"/>
  <c r="C27" i="3"/>
  <c r="C23" i="3"/>
  <c r="C19" i="3"/>
  <c r="C22" i="3"/>
  <c r="C21" i="3"/>
  <c r="B22" i="3" l="1"/>
  <c r="B19" i="3"/>
  <c r="B23" i="3"/>
  <c r="B24" i="3"/>
  <c r="B20" i="3"/>
  <c r="B21" i="3"/>
  <c r="B28" i="3"/>
  <c r="C23" i="1" s="1"/>
  <c r="B27" i="3"/>
  <c r="C24" i="1" s="1"/>
  <c r="C12" i="3"/>
  <c r="C11" i="3"/>
  <c r="C10" i="3"/>
  <c r="C9" i="3"/>
  <c r="C8" i="3"/>
  <c r="D21" i="6"/>
  <c r="G21" i="6"/>
  <c r="H21" i="6"/>
  <c r="I21" i="6"/>
  <c r="J21" i="6"/>
  <c r="K21" i="6"/>
  <c r="L21" i="6"/>
  <c r="C21" i="6"/>
  <c r="F21" i="6" s="1"/>
  <c r="M8" i="6"/>
  <c r="D68" i="3" s="1"/>
  <c r="D70" i="3" s="1"/>
  <c r="D71" i="3" s="1"/>
  <c r="D72" i="3" s="1"/>
  <c r="M9" i="6"/>
  <c r="E68" i="3" s="1"/>
  <c r="E70" i="3" s="1"/>
  <c r="E71" i="3" s="1"/>
  <c r="E72" i="3" s="1"/>
  <c r="M10" i="6"/>
  <c r="F68" i="3" s="1"/>
  <c r="F70" i="3" s="1"/>
  <c r="F71" i="3" s="1"/>
  <c r="F72" i="3" s="1"/>
  <c r="M11" i="6"/>
  <c r="G68" i="3" s="1"/>
  <c r="G70" i="3" s="1"/>
  <c r="G71" i="3" s="1"/>
  <c r="G72" i="3" s="1"/>
  <c r="M12" i="6"/>
  <c r="H68" i="3" s="1"/>
  <c r="H70" i="3" s="1"/>
  <c r="H71" i="3" s="1"/>
  <c r="H72" i="3" s="1"/>
  <c r="M13" i="6"/>
  <c r="I68" i="3" s="1"/>
  <c r="I70" i="3" s="1"/>
  <c r="I71" i="3" s="1"/>
  <c r="I72" i="3" s="1"/>
  <c r="M14" i="6"/>
  <c r="J68" i="3" s="1"/>
  <c r="J70" i="3" s="1"/>
  <c r="J71" i="3" s="1"/>
  <c r="J72" i="3" s="1"/>
  <c r="M15" i="6"/>
  <c r="K68" i="3" s="1"/>
  <c r="K70" i="3" s="1"/>
  <c r="K71" i="3" s="1"/>
  <c r="K72" i="3" s="1"/>
  <c r="M16" i="6"/>
  <c r="L68" i="3" s="1"/>
  <c r="L70" i="3" s="1"/>
  <c r="L71" i="3" s="1"/>
  <c r="L72" i="3" s="1"/>
  <c r="M17" i="6"/>
  <c r="M68" i="3" s="1"/>
  <c r="M70" i="3" s="1"/>
  <c r="M71" i="3" s="1"/>
  <c r="M72" i="3" s="1"/>
  <c r="M18" i="6"/>
  <c r="N68" i="3" s="1"/>
  <c r="N70" i="3" s="1"/>
  <c r="N71" i="3" s="1"/>
  <c r="N72" i="3" s="1"/>
  <c r="M19" i="6"/>
  <c r="O68" i="3" s="1"/>
  <c r="O70" i="3" s="1"/>
  <c r="O71" i="3" s="1"/>
  <c r="O72" i="3" s="1"/>
  <c r="M20" i="6"/>
  <c r="P68" i="3" s="1"/>
  <c r="P70" i="3" s="1"/>
  <c r="P71" i="3" s="1"/>
  <c r="P72" i="3" s="1"/>
  <c r="M7" i="6"/>
  <c r="C68" i="3" s="1"/>
  <c r="E8" i="6"/>
  <c r="D77" i="3" s="1"/>
  <c r="D78" i="3" s="1"/>
  <c r="D79" i="3" s="1"/>
  <c r="D80" i="3" s="1"/>
  <c r="E9" i="6"/>
  <c r="E77" i="3" s="1"/>
  <c r="E78" i="3" s="1"/>
  <c r="E79" i="3" s="1"/>
  <c r="E80" i="3" s="1"/>
  <c r="E10" i="6"/>
  <c r="F77" i="3" s="1"/>
  <c r="F78" i="3" s="1"/>
  <c r="F79" i="3" s="1"/>
  <c r="F80" i="3" s="1"/>
  <c r="E11" i="6"/>
  <c r="G77" i="3" s="1"/>
  <c r="G78" i="3" s="1"/>
  <c r="G79" i="3" s="1"/>
  <c r="G80" i="3" s="1"/>
  <c r="E12" i="6"/>
  <c r="H77" i="3" s="1"/>
  <c r="H78" i="3" s="1"/>
  <c r="H79" i="3" s="1"/>
  <c r="H80" i="3" s="1"/>
  <c r="E13" i="6"/>
  <c r="I77" i="3" s="1"/>
  <c r="I78" i="3" s="1"/>
  <c r="I79" i="3" s="1"/>
  <c r="I80" i="3" s="1"/>
  <c r="E14" i="6"/>
  <c r="J77" i="3" s="1"/>
  <c r="J78" i="3" s="1"/>
  <c r="J79" i="3" s="1"/>
  <c r="J80" i="3" s="1"/>
  <c r="E15" i="6"/>
  <c r="K77" i="3" s="1"/>
  <c r="K78" i="3" s="1"/>
  <c r="K79" i="3" s="1"/>
  <c r="K80" i="3" s="1"/>
  <c r="E16" i="6"/>
  <c r="L77" i="3" s="1"/>
  <c r="L78" i="3" s="1"/>
  <c r="L79" i="3" s="1"/>
  <c r="L80" i="3" s="1"/>
  <c r="E17" i="6"/>
  <c r="M77" i="3" s="1"/>
  <c r="M78" i="3" s="1"/>
  <c r="M79" i="3" s="1"/>
  <c r="M80" i="3" s="1"/>
  <c r="E18" i="6"/>
  <c r="N77" i="3" s="1"/>
  <c r="N78" i="3" s="1"/>
  <c r="N79" i="3" s="1"/>
  <c r="N80" i="3" s="1"/>
  <c r="E19" i="6"/>
  <c r="O77" i="3" s="1"/>
  <c r="O78" i="3" s="1"/>
  <c r="O79" i="3" s="1"/>
  <c r="O80" i="3" s="1"/>
  <c r="E20" i="6"/>
  <c r="P77" i="3" s="1"/>
  <c r="P78" i="3" s="1"/>
  <c r="P79" i="3" s="1"/>
  <c r="P80" i="3" s="1"/>
  <c r="E7" i="6"/>
  <c r="C77" i="3" s="1"/>
  <c r="B8" i="6"/>
  <c r="B9" i="6"/>
  <c r="B10" i="6"/>
  <c r="B11" i="6"/>
  <c r="B12" i="6"/>
  <c r="B13" i="6"/>
  <c r="B14" i="6"/>
  <c r="B15" i="6"/>
  <c r="B16" i="6"/>
  <c r="B17" i="6"/>
  <c r="B18" i="6"/>
  <c r="B19" i="6"/>
  <c r="B20" i="6"/>
  <c r="B7" i="6"/>
  <c r="U3" i="4"/>
  <c r="U4" i="4"/>
  <c r="U5" i="4"/>
  <c r="U6" i="4"/>
  <c r="U7" i="4"/>
  <c r="U8" i="4"/>
  <c r="U9" i="4"/>
  <c r="U10" i="4"/>
  <c r="U11" i="4"/>
  <c r="U12" i="4"/>
  <c r="U13" i="4"/>
  <c r="U14" i="4"/>
  <c r="U15" i="4"/>
  <c r="U16" i="4"/>
  <c r="U17" i="4"/>
  <c r="B68" i="3" l="1"/>
  <c r="C31" i="1" s="1"/>
  <c r="B77" i="3"/>
  <c r="M21" i="6"/>
  <c r="E21" i="6"/>
  <c r="H17" i="4"/>
  <c r="J3" i="4"/>
  <c r="J4" i="4"/>
  <c r="J5" i="4"/>
  <c r="J6" i="4"/>
  <c r="J7" i="4"/>
  <c r="J8" i="4"/>
  <c r="J9" i="4"/>
  <c r="J10" i="4"/>
  <c r="J11" i="4"/>
  <c r="J12" i="4"/>
  <c r="J13" i="4"/>
  <c r="J14" i="4"/>
  <c r="J15" i="4"/>
  <c r="J16" i="4"/>
  <c r="J17" i="4"/>
  <c r="J2" i="4"/>
  <c r="H13" i="4"/>
  <c r="H14" i="4"/>
  <c r="H15" i="4"/>
  <c r="H16" i="4"/>
  <c r="F13" i="4"/>
  <c r="F14" i="4"/>
  <c r="C13" i="4"/>
  <c r="N38" i="3" s="1"/>
  <c r="C14" i="4"/>
  <c r="O38" i="3" s="1"/>
  <c r="H3" i="4"/>
  <c r="H4" i="4"/>
  <c r="H5" i="4"/>
  <c r="H6" i="4"/>
  <c r="H7" i="4"/>
  <c r="H8" i="4"/>
  <c r="H9" i="4"/>
  <c r="H10" i="4"/>
  <c r="H11" i="4"/>
  <c r="H12" i="4"/>
  <c r="F3" i="4"/>
  <c r="F4" i="4"/>
  <c r="F5" i="4"/>
  <c r="F6" i="4"/>
  <c r="F7" i="4"/>
  <c r="F8" i="4"/>
  <c r="F9" i="4"/>
  <c r="F10" i="4"/>
  <c r="C3" i="4"/>
  <c r="C4" i="4"/>
  <c r="C5" i="4"/>
  <c r="F38" i="3" s="1"/>
  <c r="C6" i="4"/>
  <c r="G38" i="3" s="1"/>
  <c r="C7" i="4"/>
  <c r="H38" i="3" s="1"/>
  <c r="C8" i="4"/>
  <c r="I38" i="3" s="1"/>
  <c r="C9" i="4"/>
  <c r="J38" i="3" s="1"/>
  <c r="C10" i="4"/>
  <c r="K38" i="3" s="1"/>
  <c r="C11" i="4"/>
  <c r="L38" i="3" s="1"/>
  <c r="C12" i="4"/>
  <c r="M38" i="3" s="1"/>
  <c r="C15" i="4"/>
  <c r="P38" i="3" s="1"/>
  <c r="C16" i="4"/>
  <c r="C17" i="4"/>
  <c r="H2" i="4"/>
  <c r="F17" i="4"/>
  <c r="F11" i="4"/>
  <c r="F12" i="4"/>
  <c r="F15" i="4"/>
  <c r="F16" i="4"/>
  <c r="F2" i="4"/>
  <c r="C2" i="4"/>
  <c r="C38" i="3" s="1"/>
  <c r="C37" i="3"/>
  <c r="B37" i="3" s="1"/>
  <c r="I53" i="1"/>
  <c r="K53" i="1" s="1"/>
  <c r="I57" i="1"/>
  <c r="K57" i="1" s="1"/>
  <c r="I68" i="1"/>
  <c r="K68" i="1" s="1"/>
  <c r="E45" i="1" s="1"/>
  <c r="E47" i="1" s="1"/>
  <c r="I63" i="1"/>
  <c r="K63" i="1" s="1"/>
  <c r="I69" i="1"/>
  <c r="K69" i="1" s="1"/>
  <c r="I64" i="1"/>
  <c r="K64" i="1" s="1"/>
  <c r="I55" i="1"/>
  <c r="K55" i="1" s="1"/>
  <c r="C44" i="1" s="1"/>
  <c r="U2" i="4"/>
  <c r="D44" i="3" l="1"/>
  <c r="E38" i="3"/>
  <c r="D38" i="3"/>
  <c r="C44" i="3"/>
  <c r="K70" i="1"/>
  <c r="C7" i="3" l="1"/>
  <c r="C1" i="3"/>
  <c r="B63" i="3"/>
  <c r="B62" i="3"/>
  <c r="B61" i="3"/>
  <c r="B60" i="3"/>
  <c r="C49" i="3"/>
  <c r="C18" i="3"/>
  <c r="B18" i="3" s="1"/>
  <c r="I56" i="1"/>
  <c r="K56" i="1" s="1"/>
  <c r="C45" i="1" s="1"/>
  <c r="I58" i="1"/>
  <c r="K58" i="1" s="1"/>
  <c r="I62" i="1"/>
  <c r="I54" i="1"/>
  <c r="K54" i="1" s="1"/>
  <c r="I52" i="1"/>
  <c r="K52" i="1" s="1"/>
  <c r="D31" i="1"/>
  <c r="D30" i="1"/>
  <c r="D29" i="1"/>
  <c r="D28" i="1"/>
  <c r="D26" i="1"/>
  <c r="D24" i="1"/>
  <c r="D23" i="1"/>
  <c r="C13" i="3"/>
  <c r="K59" i="1" l="1"/>
  <c r="C43" i="1"/>
  <c r="C81" i="3"/>
  <c r="B29" i="3"/>
  <c r="K62" i="1"/>
  <c r="C69" i="3"/>
  <c r="B69" i="3" s="1"/>
  <c r="B30" i="3"/>
  <c r="B31" i="3"/>
  <c r="C29" i="3"/>
  <c r="C30" i="3"/>
  <c r="C31" i="3"/>
  <c r="C74" i="3"/>
  <c r="B74" i="3" s="1"/>
  <c r="C42" i="1" s="1"/>
  <c r="G43" i="1" s="1"/>
  <c r="C15" i="3"/>
  <c r="K65" i="1" l="1"/>
  <c r="C46" i="1"/>
  <c r="C47" i="1" s="1"/>
  <c r="G47" i="1" s="1"/>
  <c r="G42" i="1" s="1"/>
  <c r="B78" i="3"/>
  <c r="C14" i="3"/>
  <c r="C70" i="3"/>
  <c r="B70" i="3" s="1"/>
  <c r="C32" i="1" s="1"/>
  <c r="C78" i="3"/>
  <c r="C79" i="3" s="1"/>
  <c r="C80" i="3" s="1"/>
  <c r="C35" i="1" l="1"/>
  <c r="C36" i="1" s="1"/>
  <c r="C33" i="1"/>
  <c r="B79" i="3"/>
  <c r="B80" i="3" s="1"/>
  <c r="C71" i="3"/>
  <c r="C72" i="3" l="1"/>
  <c r="B72" i="3" s="1"/>
  <c r="C37" i="1" s="1"/>
  <c r="D37" i="1" s="1"/>
  <c r="B71" i="3"/>
</calcChain>
</file>

<file path=xl/sharedStrings.xml><?xml version="1.0" encoding="utf-8"?>
<sst xmlns="http://schemas.openxmlformats.org/spreadsheetml/2006/main" count="2211" uniqueCount="767">
  <si>
    <t>金融機関のみなさまへ。本資料は融資を検討頂くことのみを目的とした個人情報を含む機密資料です。不動産、金融証券業者、税理士ほか第三者との共有はご遠慮ください。</t>
    <rPh sb="0" eb="2">
      <t>キンユウ</t>
    </rPh>
    <rPh sb="2" eb="4">
      <t>キカン</t>
    </rPh>
    <rPh sb="11" eb="12">
      <t>ホン</t>
    </rPh>
    <rPh sb="12" eb="14">
      <t>シリョウ</t>
    </rPh>
    <rPh sb="15" eb="17">
      <t>ユウシ</t>
    </rPh>
    <rPh sb="18" eb="20">
      <t>ケントウ</t>
    </rPh>
    <rPh sb="20" eb="21">
      <t>イタダ</t>
    </rPh>
    <rPh sb="27" eb="29">
      <t>モクテキ</t>
    </rPh>
    <rPh sb="32" eb="34">
      <t>コジン</t>
    </rPh>
    <rPh sb="34" eb="36">
      <t>ジョウホウ</t>
    </rPh>
    <rPh sb="37" eb="38">
      <t>フク</t>
    </rPh>
    <rPh sb="39" eb="41">
      <t>キミツ</t>
    </rPh>
    <rPh sb="41" eb="43">
      <t>シリョウ</t>
    </rPh>
    <rPh sb="46" eb="49">
      <t>フドウサン</t>
    </rPh>
    <rPh sb="50" eb="52">
      <t>キンユウ</t>
    </rPh>
    <rPh sb="52" eb="54">
      <t>ショウケン</t>
    </rPh>
    <rPh sb="54" eb="56">
      <t>ギョウシャ</t>
    </rPh>
    <rPh sb="57" eb="60">
      <t>ゼイリシ</t>
    </rPh>
    <rPh sb="62" eb="65">
      <t>ダイサンシャ</t>
    </rPh>
    <rPh sb="67" eb="69">
      <t>キョウユウ</t>
    </rPh>
    <rPh sb="71" eb="73">
      <t>エンリョ</t>
    </rPh>
    <phoneticPr fontId="1"/>
  </si>
  <si>
    <t>グループの一覧</t>
    <rPh sb="5" eb="7">
      <t>イチラン</t>
    </rPh>
    <phoneticPr fontId="1"/>
  </si>
  <si>
    <t>ID</t>
  </si>
  <si>
    <t>会社名/氏名</t>
    <rPh sb="0" eb="3">
      <t>カイシャメイ</t>
    </rPh>
    <rPh sb="4" eb="6">
      <t>シメイ</t>
    </rPh>
    <phoneticPr fontId="1"/>
  </si>
  <si>
    <t>法人番号</t>
    <rPh sb="0" eb="2">
      <t>ホウジン</t>
    </rPh>
    <rPh sb="2" eb="4">
      <t>バンゴウ</t>
    </rPh>
    <phoneticPr fontId="1"/>
  </si>
  <si>
    <t>代表名</t>
    <rPh sb="0" eb="2">
      <t>ダイヒョウ</t>
    </rPh>
    <rPh sb="2" eb="3">
      <t>メイ</t>
    </rPh>
    <phoneticPr fontId="1"/>
  </si>
  <si>
    <t>設立日/生年月日</t>
    <rPh sb="0" eb="3">
      <t>セツリツビ</t>
    </rPh>
    <rPh sb="4" eb="6">
      <t>セイネン</t>
    </rPh>
    <rPh sb="6" eb="8">
      <t>ガッピ</t>
    </rPh>
    <phoneticPr fontId="1"/>
  </si>
  <si>
    <t>資本金</t>
    <rPh sb="0" eb="3">
      <t>シホンキン</t>
    </rPh>
    <phoneticPr fontId="1"/>
  </si>
  <si>
    <t>決算期</t>
    <rPh sb="0" eb="3">
      <t>ケッサンキ</t>
    </rPh>
    <phoneticPr fontId="1"/>
  </si>
  <si>
    <t>株主</t>
    <rPh sb="0" eb="2">
      <t>カブヌシ</t>
    </rPh>
    <phoneticPr fontId="1"/>
  </si>
  <si>
    <t>消費税課税区分</t>
    <rPh sb="0" eb="3">
      <t>ショウヒゼイ</t>
    </rPh>
    <rPh sb="3" eb="5">
      <t>カゼイ</t>
    </rPh>
    <rPh sb="5" eb="7">
      <t>クブン</t>
    </rPh>
    <phoneticPr fontId="1"/>
  </si>
  <si>
    <t>住所</t>
    <rPh sb="0" eb="2">
      <t>ジュウショ</t>
    </rPh>
    <phoneticPr fontId="1"/>
  </si>
  <si>
    <t>ID</t>
    <phoneticPr fontId="3"/>
  </si>
  <si>
    <t>名称</t>
    <rPh sb="0" eb="2">
      <t>メイショウ</t>
    </rPh>
    <phoneticPr fontId="3"/>
  </si>
  <si>
    <t>コアプラス池袋</t>
  </si>
  <si>
    <t>コアプラス池袋</t>
    <rPh sb="5" eb="7">
      <t>イケブクロ</t>
    </rPh>
    <phoneticPr fontId="3"/>
  </si>
  <si>
    <t>かぼちゃレジデンス池袋</t>
  </si>
  <si>
    <t>かぼちゃレジデンス池袋</t>
    <rPh sb="9" eb="11">
      <t>イケブクロ</t>
    </rPh>
    <phoneticPr fontId="3"/>
  </si>
  <si>
    <t>かぼちゃレジデンス五反田</t>
  </si>
  <si>
    <t>かぼちゃレジデンス五反田</t>
    <rPh sb="9" eb="12">
      <t>ゴタンダ</t>
    </rPh>
    <phoneticPr fontId="3"/>
  </si>
  <si>
    <t>かぼちゃタワー101</t>
  </si>
  <si>
    <t>かぼちゃタワー101</t>
    <phoneticPr fontId="3"/>
  </si>
  <si>
    <t>かぼちゃタワー102</t>
  </si>
  <si>
    <t>かぼちゃタワー102</t>
    <phoneticPr fontId="3"/>
  </si>
  <si>
    <t>コアプラス・アンド・アーキテクチャーズ株式会社</t>
  </si>
  <si>
    <t>コアプラス・アンド・アーキテクチャーズ株式会社</t>
    <phoneticPr fontId="3"/>
  </si>
  <si>
    <t>スルガ銀行</t>
  </si>
  <si>
    <t>スルガ銀行</t>
    <rPh sb="3" eb="5">
      <t>ギンコウ</t>
    </rPh>
    <phoneticPr fontId="3"/>
  </si>
  <si>
    <t>オリックス銀行</t>
  </si>
  <si>
    <t>オリックス銀行</t>
    <rPh sb="5" eb="7">
      <t>ギンコウ</t>
    </rPh>
    <phoneticPr fontId="3"/>
  </si>
  <si>
    <t>日本政策金融公庫</t>
  </si>
  <si>
    <t>日本政策金融公庫</t>
    <rPh sb="0" eb="8">
      <t>ニホンセイサクキンユウコウコ</t>
    </rPh>
    <phoneticPr fontId="3"/>
  </si>
  <si>
    <t>静岡銀行</t>
  </si>
  <si>
    <t>静岡銀行</t>
    <rPh sb="0" eb="2">
      <t>シズオカ</t>
    </rPh>
    <rPh sb="2" eb="4">
      <t>ギンコウ</t>
    </rPh>
    <phoneticPr fontId="3"/>
  </si>
  <si>
    <t>西武信用金庫</t>
  </si>
  <si>
    <t>西武信用金庫</t>
    <rPh sb="0" eb="2">
      <t>セイブ</t>
    </rPh>
    <rPh sb="2" eb="4">
      <t>シンヨウ</t>
    </rPh>
    <rPh sb="4" eb="6">
      <t>キンコ</t>
    </rPh>
    <phoneticPr fontId="3"/>
  </si>
  <si>
    <t>千葉銀行</t>
  </si>
  <si>
    <t>千葉銀行</t>
    <rPh sb="0" eb="2">
      <t>チバ</t>
    </rPh>
    <rPh sb="2" eb="4">
      <t>ギンコウ</t>
    </rPh>
    <phoneticPr fontId="3"/>
  </si>
  <si>
    <t>玉川陽介</t>
  </si>
  <si>
    <t>玉川陽介</t>
    <rPh sb="0" eb="4">
      <t>タマガワ</t>
    </rPh>
    <phoneticPr fontId="3"/>
  </si>
  <si>
    <t>玉川花子（妻）</t>
    <rPh sb="0" eb="2">
      <t>タマガワ</t>
    </rPh>
    <rPh sb="2" eb="4">
      <t>ハナコ</t>
    </rPh>
    <rPh sb="5" eb="6">
      <t>ツマ</t>
    </rPh>
    <phoneticPr fontId="3"/>
  </si>
  <si>
    <t>玉川太郎（長男）</t>
    <rPh sb="0" eb="2">
      <t>タマガワ</t>
    </rPh>
    <rPh sb="2" eb="4">
      <t>タロウ</t>
    </rPh>
    <rPh sb="5" eb="7">
      <t>チョウナン</t>
    </rPh>
    <phoneticPr fontId="3"/>
  </si>
  <si>
    <t>玉川次郎（次男）</t>
    <rPh sb="0" eb="2">
      <t>タマガワ</t>
    </rPh>
    <rPh sb="2" eb="4">
      <t>ジロウ</t>
    </rPh>
    <rPh sb="5" eb="7">
      <t>ジナン</t>
    </rPh>
    <phoneticPr fontId="3"/>
  </si>
  <si>
    <t>玉川かぼちゃ（長女）</t>
    <rPh sb="7" eb="9">
      <t>チョウジョ</t>
    </rPh>
    <phoneticPr fontId="3"/>
  </si>
  <si>
    <t>玉川三郎（養子）</t>
    <rPh sb="0" eb="2">
      <t>タマガワ</t>
    </rPh>
    <rPh sb="2" eb="4">
      <t>サブロウ</t>
    </rPh>
    <rPh sb="5" eb="7">
      <t>ヨウシ</t>
    </rPh>
    <phoneticPr fontId="3"/>
  </si>
  <si>
    <t>さんためエステート株式会社</t>
  </si>
  <si>
    <t>さんためエステート株式会社</t>
    <rPh sb="9" eb="13">
      <t>カブシキガイシャ</t>
    </rPh>
    <phoneticPr fontId="3"/>
  </si>
  <si>
    <t>よんためプロパティ株式会社</t>
  </si>
  <si>
    <t>よんためプロパティ株式会社</t>
    <phoneticPr fontId="3"/>
  </si>
  <si>
    <t>ごためランド株式会社</t>
  </si>
  <si>
    <t>ごためランド株式会社</t>
    <rPh sb="6" eb="10">
      <t>カブシキガイシャ</t>
    </rPh>
    <phoneticPr fontId="3"/>
  </si>
  <si>
    <t>ろくためアセット株式会社</t>
  </si>
  <si>
    <t>ろくためアセット株式会社</t>
    <rPh sb="8" eb="12">
      <t>カブシキガイシャ</t>
    </rPh>
    <phoneticPr fontId="3"/>
  </si>
  <si>
    <t>ななためマネジメント株式会社</t>
  </si>
  <si>
    <t>ななためマネジメント株式会社</t>
    <rPh sb="10" eb="14">
      <t>カブシキガイシャ</t>
    </rPh>
    <phoneticPr fontId="3"/>
  </si>
  <si>
    <t>無限レジデンス大塚</t>
  </si>
  <si>
    <t>無限レジデンス大塚</t>
    <rPh sb="0" eb="2">
      <t>ムゲン</t>
    </rPh>
    <rPh sb="7" eb="9">
      <t>オオツカ</t>
    </rPh>
    <phoneticPr fontId="3"/>
  </si>
  <si>
    <t>ＡＤレジデンス池袋</t>
  </si>
  <si>
    <t>ＡＤレジデンス池袋</t>
    <rPh sb="7" eb="9">
      <t>イケブクロ</t>
    </rPh>
    <phoneticPr fontId="3"/>
  </si>
  <si>
    <t>オープンマンション高田馬場</t>
  </si>
  <si>
    <t>オープンマンション高田馬場</t>
    <rPh sb="9" eb="13">
      <t>タカダノババ</t>
    </rPh>
    <phoneticPr fontId="3"/>
  </si>
  <si>
    <t>-</t>
  </si>
  <si>
    <t>-</t>
    <phoneticPr fontId="3"/>
  </si>
  <si>
    <r>
      <t>1</t>
    </r>
    <r>
      <rPr>
        <sz val="11"/>
        <color theme="1"/>
        <rFont val="游ゴシック"/>
        <family val="2"/>
        <charset val="128"/>
        <scheme val="minor"/>
      </rPr>
      <t>00万円</t>
    </r>
    <rPh sb="3" eb="5">
      <t>マンエン</t>
    </rPh>
    <phoneticPr fontId="3"/>
  </si>
  <si>
    <r>
      <t>1</t>
    </r>
    <r>
      <rPr>
        <sz val="11"/>
        <color theme="1"/>
        <rFont val="游ゴシック"/>
        <family val="2"/>
        <charset val="128"/>
        <scheme val="minor"/>
      </rPr>
      <t>2月末</t>
    </r>
    <rPh sb="2" eb="4">
      <t>ガツマツ</t>
    </rPh>
    <phoneticPr fontId="3"/>
  </si>
  <si>
    <t>代表者100%</t>
    <rPh sb="0" eb="3">
      <t>ダイヒョウシャ</t>
    </rPh>
    <phoneticPr fontId="1"/>
  </si>
  <si>
    <t>原則課税</t>
    <rPh sb="0" eb="2">
      <t>ゲンソク</t>
    </rPh>
    <rPh sb="2" eb="4">
      <t>カゼイ</t>
    </rPh>
    <phoneticPr fontId="1"/>
  </si>
  <si>
    <t>免税</t>
    <rPh sb="0" eb="2">
      <t>メンゼイ</t>
    </rPh>
    <phoneticPr fontId="1"/>
  </si>
  <si>
    <t>免税(給与所得のみ)</t>
    <rPh sb="0" eb="2">
      <t>メンゼイ</t>
    </rPh>
    <phoneticPr fontId="1"/>
  </si>
  <si>
    <t>簡易課税</t>
    <rPh sb="0" eb="2">
      <t>カンイ</t>
    </rPh>
    <rPh sb="2" eb="4">
      <t>カゼイ</t>
    </rPh>
    <phoneticPr fontId="3"/>
  </si>
  <si>
    <t>東京都豊島区南池袋1丁目8番21号 コアプラス池袋1F</t>
    <rPh sb="0" eb="3">
      <t>トウキョウト</t>
    </rPh>
    <rPh sb="3" eb="6">
      <t>トシマク</t>
    </rPh>
    <rPh sb="6" eb="9">
      <t>ミナミイケブクロ</t>
    </rPh>
    <rPh sb="10" eb="12">
      <t>チョウメ</t>
    </rPh>
    <rPh sb="13" eb="14">
      <t>バン</t>
    </rPh>
    <rPh sb="16" eb="17">
      <t>ゴウ</t>
    </rPh>
    <rPh sb="23" eb="25">
      <t>イケブクロ</t>
    </rPh>
    <phoneticPr fontId="1"/>
  </si>
  <si>
    <t xml:space="preserve">1.グループの概況 </t>
    <rPh sb="7" eb="9">
      <t>ガイキョウ</t>
    </rPh>
    <phoneticPr fontId="1"/>
  </si>
  <si>
    <t>賃料売上(満室想定)</t>
    <rPh sb="0" eb="2">
      <t>チンリョウ</t>
    </rPh>
    <rPh sb="2" eb="3">
      <t>ウ</t>
    </rPh>
    <rPh sb="3" eb="4">
      <t>ア</t>
    </rPh>
    <rPh sb="5" eb="7">
      <t>マンシツ</t>
    </rPh>
    <rPh sb="7" eb="9">
      <t>ソウテイ</t>
    </rPh>
    <phoneticPr fontId="1"/>
  </si>
  <si>
    <t>経費率</t>
    <rPh sb="0" eb="3">
      <t>ケイヒリツ</t>
    </rPh>
    <phoneticPr fontId="1"/>
  </si>
  <si>
    <t>NOI(金利差引前粗利益)</t>
    <rPh sb="4" eb="6">
      <t>キンリ</t>
    </rPh>
    <rPh sb="6" eb="8">
      <t>サシヒキ</t>
    </rPh>
    <rPh sb="8" eb="9">
      <t>マエ</t>
    </rPh>
    <rPh sb="9" eb="12">
      <t>アラリエキ</t>
    </rPh>
    <phoneticPr fontId="1"/>
  </si>
  <si>
    <t>加重平均借入金利</t>
    <rPh sb="0" eb="2">
      <t>カジュウ</t>
    </rPh>
    <rPh sb="2" eb="4">
      <t>ヘイキン</t>
    </rPh>
    <rPh sb="4" eb="6">
      <t>カリイレ</t>
    </rPh>
    <rPh sb="6" eb="8">
      <t>キンリ</t>
    </rPh>
    <phoneticPr fontId="1"/>
  </si>
  <si>
    <t>金利支払/年額</t>
    <rPh sb="0" eb="2">
      <t>キンリ</t>
    </rPh>
    <rPh sb="2" eb="4">
      <t>シハラ</t>
    </rPh>
    <rPh sb="5" eb="7">
      <t>ネンガク</t>
    </rPh>
    <phoneticPr fontId="1"/>
  </si>
  <si>
    <t>元金支払/年額</t>
    <rPh sb="0" eb="2">
      <t>ガンキン</t>
    </rPh>
    <rPh sb="2" eb="4">
      <t>シハラ</t>
    </rPh>
    <rPh sb="5" eb="7">
      <t>ネンガク</t>
    </rPh>
    <phoneticPr fontId="1"/>
  </si>
  <si>
    <t>返済額合計</t>
    <rPh sb="0" eb="3">
      <t>ヘンサイガク</t>
    </rPh>
    <rPh sb="3" eb="5">
      <t>ゴウケイ</t>
    </rPh>
    <phoneticPr fontId="1"/>
  </si>
  <si>
    <t>減価償却</t>
    <rPh sb="0" eb="2">
      <t>ゲンカ</t>
    </rPh>
    <rPh sb="2" eb="4">
      <t>ショウキャク</t>
    </rPh>
    <phoneticPr fontId="1"/>
  </si>
  <si>
    <t>想定税前利益/年</t>
    <rPh sb="0" eb="2">
      <t>ソウテイ</t>
    </rPh>
    <rPh sb="2" eb="3">
      <t>ゼイ</t>
    </rPh>
    <rPh sb="3" eb="4">
      <t>マエ</t>
    </rPh>
    <rPh sb="4" eb="6">
      <t>リエキ</t>
    </rPh>
    <phoneticPr fontId="1"/>
  </si>
  <si>
    <t>減価償却+税引前利益</t>
    <rPh sb="0" eb="2">
      <t>ゲンカ</t>
    </rPh>
    <rPh sb="2" eb="4">
      <t>ショウキャク</t>
    </rPh>
    <rPh sb="5" eb="8">
      <t>ゼイビキマエ</t>
    </rPh>
    <rPh sb="8" eb="10">
      <t>リエキ</t>
    </rPh>
    <phoneticPr fontId="1"/>
  </si>
  <si>
    <t>想定税率</t>
    <rPh sb="0" eb="2">
      <t>ソウテイ</t>
    </rPh>
    <rPh sb="2" eb="4">
      <t>ゼイリツ</t>
    </rPh>
    <phoneticPr fontId="1"/>
  </si>
  <si>
    <t>想定税額</t>
    <rPh sb="0" eb="2">
      <t>ソウテイ</t>
    </rPh>
    <rPh sb="2" eb="4">
      <t>ゼイガク</t>
    </rPh>
    <phoneticPr fontId="1"/>
  </si>
  <si>
    <t>想定税後利益/年</t>
    <rPh sb="0" eb="2">
      <t>ソウテイ</t>
    </rPh>
    <rPh sb="2" eb="3">
      <t>ゼイ</t>
    </rPh>
    <rPh sb="3" eb="4">
      <t>アト</t>
    </rPh>
    <rPh sb="4" eb="6">
      <t>リエキ</t>
    </rPh>
    <phoneticPr fontId="1"/>
  </si>
  <si>
    <t>想定税引後CF</t>
    <rPh sb="0" eb="2">
      <t>ソウテイ</t>
    </rPh>
    <rPh sb="2" eb="5">
      <t>ゼイビキゴ</t>
    </rPh>
    <phoneticPr fontId="1"/>
  </si>
  <si>
    <t>収益の概要</t>
    <rPh sb="0" eb="2">
      <t>シュウエキ</t>
    </rPh>
    <rPh sb="3" eb="5">
      <t>ガイヨウ</t>
    </rPh>
    <phoneticPr fontId="1"/>
  </si>
  <si>
    <t>年額</t>
    <rPh sb="0" eb="2">
      <t>ネンガク</t>
    </rPh>
    <phoneticPr fontId="1"/>
  </si>
  <si>
    <t>月額</t>
    <rPh sb="0" eb="2">
      <t>ゲツガク</t>
    </rPh>
    <phoneticPr fontId="1"/>
  </si>
  <si>
    <t>資産の概要</t>
    <rPh sb="0" eb="2">
      <t>シサン</t>
    </rPh>
    <rPh sb="3" eb="5">
      <t>ガイヨウ</t>
    </rPh>
    <phoneticPr fontId="1"/>
  </si>
  <si>
    <t>負債の概要</t>
    <rPh sb="0" eb="2">
      <t>フサイ</t>
    </rPh>
    <rPh sb="3" eb="5">
      <t>ガイヨウ</t>
    </rPh>
    <phoneticPr fontId="1"/>
  </si>
  <si>
    <t>純資産の概要</t>
    <rPh sb="0" eb="3">
      <t>ジュンシサン</t>
    </rPh>
    <rPh sb="4" eb="6">
      <t>ガイヨウ</t>
    </rPh>
    <phoneticPr fontId="1"/>
  </si>
  <si>
    <t>資産名</t>
    <rPh sb="0" eb="2">
      <t>シサン</t>
    </rPh>
    <rPh sb="2" eb="3">
      <t>メイ</t>
    </rPh>
    <phoneticPr fontId="1"/>
  </si>
  <si>
    <t>合計額</t>
    <rPh sb="0" eb="3">
      <t>ゴウケイガク</t>
    </rPh>
    <phoneticPr fontId="1"/>
  </si>
  <si>
    <t>負債名</t>
    <rPh sb="0" eb="2">
      <t>フサイ</t>
    </rPh>
    <rPh sb="2" eb="3">
      <t>メイ</t>
    </rPh>
    <phoneticPr fontId="1"/>
  </si>
  <si>
    <t>純資産名</t>
    <rPh sb="0" eb="3">
      <t>ジュンシサン</t>
    </rPh>
    <rPh sb="3" eb="4">
      <t>メイ</t>
    </rPh>
    <phoneticPr fontId="1"/>
  </si>
  <si>
    <t>不動産時価</t>
    <rPh sb="0" eb="3">
      <t>フドウサン</t>
    </rPh>
    <rPh sb="3" eb="5">
      <t>ジカ</t>
    </rPh>
    <phoneticPr fontId="1"/>
  </si>
  <si>
    <t>信用金庫出資金</t>
    <rPh sb="0" eb="2">
      <t>シンヨウ</t>
    </rPh>
    <rPh sb="2" eb="4">
      <t>キンコ</t>
    </rPh>
    <rPh sb="4" eb="7">
      <t>シュッシキン</t>
    </rPh>
    <phoneticPr fontId="1"/>
  </si>
  <si>
    <t>資産合計</t>
    <rPh sb="0" eb="2">
      <t>シサン</t>
    </rPh>
    <rPh sb="2" eb="4">
      <t>ゴウケイ</t>
    </rPh>
    <phoneticPr fontId="1"/>
  </si>
  <si>
    <t>敷金預かり債務</t>
    <rPh sb="0" eb="2">
      <t>シキキン</t>
    </rPh>
    <rPh sb="2" eb="3">
      <t>アズ</t>
    </rPh>
    <rPh sb="5" eb="7">
      <t>サイム</t>
    </rPh>
    <phoneticPr fontId="1"/>
  </si>
  <si>
    <t>負債合計</t>
    <rPh sb="0" eb="2">
      <t>フサイ</t>
    </rPh>
    <rPh sb="2" eb="4">
      <t>ゴウケイ</t>
    </rPh>
    <phoneticPr fontId="1"/>
  </si>
  <si>
    <t>現金相当物</t>
    <rPh sb="0" eb="2">
      <t>ゲンキン</t>
    </rPh>
    <rPh sb="2" eb="4">
      <t>ソウトウ</t>
    </rPh>
    <rPh sb="4" eb="5">
      <t>ブツ</t>
    </rPh>
    <phoneticPr fontId="1"/>
  </si>
  <si>
    <t>不動産解散価値(時価評価)</t>
    <rPh sb="0" eb="3">
      <t>フドウサン</t>
    </rPh>
    <rPh sb="3" eb="5">
      <t>カイサン</t>
    </rPh>
    <rPh sb="5" eb="7">
      <t>カチ</t>
    </rPh>
    <rPh sb="8" eb="10">
      <t>ジカ</t>
    </rPh>
    <rPh sb="10" eb="12">
      <t>ヒョウカ</t>
    </rPh>
    <phoneticPr fontId="1"/>
  </si>
  <si>
    <t>純資産合計</t>
    <rPh sb="0" eb="3">
      <t>ジュンシサン</t>
    </rPh>
    <rPh sb="3" eb="5">
      <t>ゴウケイ</t>
    </rPh>
    <phoneticPr fontId="1"/>
  </si>
  <si>
    <t>4.金融資産の明細</t>
    <rPh sb="2" eb="4">
      <t>キンユウ</t>
    </rPh>
    <rPh sb="4" eb="6">
      <t>シサン</t>
    </rPh>
    <rPh sb="7" eb="9">
      <t>メイサイ</t>
    </rPh>
    <phoneticPr fontId="1"/>
  </si>
  <si>
    <t>保有主体</t>
    <rPh sb="0" eb="2">
      <t>ホユウ</t>
    </rPh>
    <rPh sb="2" eb="4">
      <t>シュタイ</t>
    </rPh>
    <phoneticPr fontId="1"/>
  </si>
  <si>
    <t>金融機関名</t>
    <rPh sb="0" eb="2">
      <t>キンユウ</t>
    </rPh>
    <rPh sb="2" eb="5">
      <t>キカンメイ</t>
    </rPh>
    <phoneticPr fontId="1"/>
  </si>
  <si>
    <t>数量</t>
    <rPh sb="0" eb="2">
      <t>スウリョウ</t>
    </rPh>
    <phoneticPr fontId="1"/>
  </si>
  <si>
    <t>単価/時価</t>
    <rPh sb="0" eb="2">
      <t>タンカ</t>
    </rPh>
    <rPh sb="3" eb="5">
      <t>ジカ</t>
    </rPh>
    <phoneticPr fontId="1"/>
  </si>
  <si>
    <t>玉川陽介＋グループ各社</t>
    <rPh sb="0" eb="4">
      <t>ナマエ</t>
    </rPh>
    <rPh sb="9" eb="11">
      <t>カクシャ</t>
    </rPh>
    <phoneticPr fontId="1"/>
  </si>
  <si>
    <t>国内銀行各社</t>
    <rPh sb="0" eb="2">
      <t>コクナイ</t>
    </rPh>
    <rPh sb="2" eb="4">
      <t>ギンコウ</t>
    </rPh>
    <rPh sb="4" eb="6">
      <t>カクシャ</t>
    </rPh>
    <phoneticPr fontId="1"/>
  </si>
  <si>
    <t>同上</t>
    <rPh sb="0" eb="2">
      <t>ドウジョウ</t>
    </rPh>
    <phoneticPr fontId="1"/>
  </si>
  <si>
    <t>国内信金各社</t>
    <rPh sb="0" eb="2">
      <t>コクナイ</t>
    </rPh>
    <rPh sb="2" eb="4">
      <t>シンキン</t>
    </rPh>
    <rPh sb="4" eb="6">
      <t>カクシャ</t>
    </rPh>
    <phoneticPr fontId="1"/>
  </si>
  <si>
    <t>国内証券各社</t>
    <rPh sb="0" eb="6">
      <t>コクナイショウケンカクシャ</t>
    </rPh>
    <phoneticPr fontId="1"/>
  </si>
  <si>
    <t>その他</t>
    <rPh sb="2" eb="3">
      <t>タ</t>
    </rPh>
    <phoneticPr fontId="1"/>
  </si>
  <si>
    <t>5.直近の活動ハイライト</t>
    <rPh sb="2" eb="4">
      <t>チョッキン</t>
    </rPh>
    <rPh sb="5" eb="7">
      <t>カツドウ</t>
    </rPh>
    <phoneticPr fontId="1"/>
  </si>
  <si>
    <t>2018/3/10</t>
    <phoneticPr fontId="3"/>
  </si>
  <si>
    <t>2018/2/15</t>
    <phoneticPr fontId="3"/>
  </si>
  <si>
    <t>日付</t>
    <rPh sb="0" eb="2">
      <t>ヒヅケ</t>
    </rPh>
    <phoneticPr fontId="1"/>
  </si>
  <si>
    <t>活動</t>
    <rPh sb="0" eb="2">
      <t>カツドウ</t>
    </rPh>
    <phoneticPr fontId="1"/>
  </si>
  <si>
    <t>さんためエステート株式会社の決算期が1月であったのを12月末に変更した</t>
    <rPh sb="14" eb="17">
      <t>ケッサンキ</t>
    </rPh>
    <rPh sb="19" eb="20">
      <t>ガツ</t>
    </rPh>
    <rPh sb="28" eb="30">
      <t>ガツマツ</t>
    </rPh>
    <rPh sb="31" eb="33">
      <t>ヘンコウ</t>
    </rPh>
    <phoneticPr fontId="3"/>
  </si>
  <si>
    <t>よんためプロパティ株式会社によりかぼちゃマンション203を取得した</t>
    <rPh sb="29" eb="31">
      <t>シュトク</t>
    </rPh>
    <phoneticPr fontId="3"/>
  </si>
  <si>
    <t>民泊から完全撤退が完了（すべての貸室が普通借家になった）</t>
    <rPh sb="0" eb="2">
      <t>ミンパク</t>
    </rPh>
    <rPh sb="4" eb="6">
      <t>カンゼン</t>
    </rPh>
    <rPh sb="6" eb="8">
      <t>テッタイ</t>
    </rPh>
    <rPh sb="9" eb="11">
      <t>カンリョウ</t>
    </rPh>
    <rPh sb="16" eb="18">
      <t>カシシツ</t>
    </rPh>
    <rPh sb="19" eb="21">
      <t>フツウ</t>
    </rPh>
    <rPh sb="21" eb="23">
      <t>シャッカ</t>
    </rPh>
    <phoneticPr fontId="1"/>
  </si>
  <si>
    <t>ごためランド株式会社の保有するかぼちゃアパートを売却した</t>
    <rPh sb="11" eb="13">
      <t>ホユウ</t>
    </rPh>
    <rPh sb="24" eb="26">
      <t>バイキャク</t>
    </rPh>
    <phoneticPr fontId="3"/>
  </si>
  <si>
    <t>代表者玉川陽介が住所変更を完了した。新住所は東京都豊島区目白1丁目5番1号 かぼちゃマンション101である</t>
    <rPh sb="0" eb="3">
      <t>ダイヒョウシャ</t>
    </rPh>
    <rPh sb="3" eb="7">
      <t>タマガワ</t>
    </rPh>
    <rPh sb="8" eb="10">
      <t>ジュウショ</t>
    </rPh>
    <rPh sb="10" eb="12">
      <t>ヘンコウ</t>
    </rPh>
    <rPh sb="13" eb="15">
      <t>カンリョウ</t>
    </rPh>
    <rPh sb="18" eb="21">
      <t>シンジュウショ</t>
    </rPh>
    <rPh sb="22" eb="25">
      <t>トウキョウト</t>
    </rPh>
    <rPh sb="25" eb="28">
      <t>トシマク</t>
    </rPh>
    <rPh sb="28" eb="30">
      <t>メジロ</t>
    </rPh>
    <rPh sb="31" eb="33">
      <t>チョウメ</t>
    </rPh>
    <rPh sb="34" eb="35">
      <t>バン</t>
    </rPh>
    <rPh sb="36" eb="37">
      <t>ゴウ</t>
    </rPh>
    <phoneticPr fontId="3"/>
  </si>
  <si>
    <t>長男、太郎の誕生</t>
    <rPh sb="0" eb="2">
      <t>チョウナン</t>
    </rPh>
    <rPh sb="3" eb="5">
      <t>タロウ</t>
    </rPh>
    <rPh sb="6" eb="8">
      <t>タンジョウ</t>
    </rPh>
    <phoneticPr fontId="3"/>
  </si>
  <si>
    <t>代表者玉川陽介が結婚</t>
    <rPh sb="8" eb="10">
      <t>ケッコン</t>
    </rPh>
    <phoneticPr fontId="3"/>
  </si>
  <si>
    <t>合計
または加重平均</t>
  </si>
  <si>
    <t>物件ID</t>
  </si>
  <si>
    <t>交通</t>
  </si>
  <si>
    <t>住所</t>
  </si>
  <si>
    <t>一棟or区分</t>
  </si>
  <si>
    <t>権利形態</t>
  </si>
  <si>
    <t>土地面積（登記簿）</t>
  </si>
  <si>
    <t>土地面積（坪）</t>
  </si>
  <si>
    <t>建物のべ床(登記簿)</t>
  </si>
  <si>
    <t>建物構造</t>
  </si>
  <si>
    <t>建物築年</t>
  </si>
  <si>
    <t>建物経過年数</t>
  </si>
  <si>
    <t>総戸数</t>
  </si>
  <si>
    <t>駐車場</t>
  </si>
  <si>
    <t>用途と計画</t>
  </si>
  <si>
    <t>賃貸収入</t>
  </si>
  <si>
    <t>現況賃料/年</t>
  </si>
  <si>
    <t>満室想定賃料/年</t>
  </si>
  <si>
    <t>満室想定賃料/当初購入価格</t>
  </si>
  <si>
    <t>入居率</t>
  </si>
  <si>
    <t>現況賃料/当初購入価格</t>
  </si>
  <si>
    <t>管理会社</t>
  </si>
  <si>
    <t>購入時条件</t>
  </si>
  <si>
    <t>購入年月</t>
  </si>
  <si>
    <t>購入価格</t>
  </si>
  <si>
    <t>当初借入金額</t>
  </si>
  <si>
    <t>購入時自己資金</t>
  </si>
  <si>
    <t>当初借入金融機関</t>
  </si>
  <si>
    <t>グループ内売買と借り換え</t>
  </si>
  <si>
    <t>当初購入者</t>
  </si>
  <si>
    <t>グループ内売買日時</t>
  </si>
  <si>
    <t>グループ内売買金額</t>
  </si>
  <si>
    <t>グループ内売買時当初借入金額</t>
  </si>
  <si>
    <t>現在の借入金融機関</t>
  </si>
  <si>
    <t>借換後の実質自己資金</t>
  </si>
  <si>
    <t>借入条件</t>
  </si>
  <si>
    <t>金利</t>
  </si>
  <si>
    <t>融資期間</t>
  </si>
  <si>
    <t>融資残存期間</t>
  </si>
  <si>
    <t>備考</t>
  </si>
  <si>
    <t>返済</t>
  </si>
  <si>
    <t>返済額/月額</t>
  </si>
  <si>
    <t>元金返済/月額</t>
  </si>
  <si>
    <t>金利支払/月額</t>
  </si>
  <si>
    <t>共同担保としての提供</t>
  </si>
  <si>
    <t>土地固定資産税評価額</t>
  </si>
  <si>
    <t>建物固定資産税評価額</t>
  </si>
  <si>
    <t>固定資産税額</t>
  </si>
  <si>
    <t>都市計画税額</t>
  </si>
  <si>
    <t>固定資産税路線価</t>
  </si>
  <si>
    <t>平成29年度</t>
  </si>
  <si>
    <t>相続税路線価</t>
  </si>
  <si>
    <t>105D</t>
  </si>
  <si>
    <t>予想収益指標（ご参考）</t>
  </si>
  <si>
    <t>NOI概算/年(粗利益)</t>
  </si>
  <si>
    <t>減価償却/年</t>
  </si>
  <si>
    <t>金利支払/年額</t>
  </si>
  <si>
    <t>想定税前利益/年</t>
  </si>
  <si>
    <t>想定税後利益/年</t>
  </si>
  <si>
    <t>想定税引後CF/年</t>
  </si>
  <si>
    <t>利回り時価評価</t>
  </si>
  <si>
    <t>物件時価評価</t>
  </si>
  <si>
    <t>想定売却益(物件時価-簿価合計)</t>
  </si>
  <si>
    <t>想定譲渡益課税(一律35%)</t>
  </si>
  <si>
    <t>解散価値
（物件時価-残債-譲渡益課税)</t>
  </si>
  <si>
    <t>情報取扱注意</t>
  </si>
  <si>
    <t>合計／平均</t>
  </si>
  <si>
    <t>物件概要</t>
    <phoneticPr fontId="3"/>
  </si>
  <si>
    <t>現所有者名</t>
    <rPh sb="4" eb="5">
      <t>メイ</t>
    </rPh>
    <phoneticPr fontId="3"/>
  </si>
  <si>
    <t>連番</t>
  </si>
  <si>
    <t>金融機関ID</t>
  </si>
  <si>
    <t>金融機関名</t>
  </si>
  <si>
    <t>対応物件</t>
  </si>
  <si>
    <t>借入主体</t>
  </si>
  <si>
    <t>当初借入額</t>
  </si>
  <si>
    <t>当初借入日</t>
  </si>
  <si>
    <t>借入期間</t>
  </si>
  <si>
    <t>残債時点</t>
  </si>
  <si>
    <t>元金返済月額</t>
  </si>
  <si>
    <t>残債</t>
  </si>
  <si>
    <t>残債当初比</t>
  </si>
  <si>
    <t>保証会社</t>
  </si>
  <si>
    <t>返済方法</t>
  </si>
  <si>
    <t>修繕割賦</t>
  </si>
  <si>
    <t>修繕割賦</t>
    <rPh sb="0" eb="2">
      <t>シュウゼン</t>
    </rPh>
    <rPh sb="2" eb="4">
      <t>カップ</t>
    </rPh>
    <phoneticPr fontId="3"/>
  </si>
  <si>
    <t>住宅ローン</t>
  </si>
  <si>
    <t>住宅ローン</t>
    <rPh sb="0" eb="2">
      <t>ジュウタク</t>
    </rPh>
    <phoneticPr fontId="3"/>
  </si>
  <si>
    <t>無担保</t>
  </si>
  <si>
    <t>無担保</t>
    <rPh sb="0" eb="3">
      <t>ムタンポ</t>
    </rPh>
    <phoneticPr fontId="3"/>
  </si>
  <si>
    <t>当初借入ID</t>
    <rPh sb="0" eb="2">
      <t>トウショ</t>
    </rPh>
    <rPh sb="2" eb="4">
      <t>カリイレ</t>
    </rPh>
    <phoneticPr fontId="3"/>
  </si>
  <si>
    <t>解約縛り</t>
    <rPh sb="0" eb="2">
      <t>カイヤク</t>
    </rPh>
    <rPh sb="2" eb="3">
      <t>シバ</t>
    </rPh>
    <phoneticPr fontId="2"/>
  </si>
  <si>
    <t>変動固定</t>
    <rPh sb="0" eb="2">
      <t>ヘンドウ</t>
    </rPh>
    <rPh sb="2" eb="4">
      <t>コテイ</t>
    </rPh>
    <phoneticPr fontId="2"/>
  </si>
  <si>
    <t>借換後借入ID</t>
    <rPh sb="0" eb="2">
      <t>カリカエ</t>
    </rPh>
    <rPh sb="2" eb="3">
      <t>ゴ</t>
    </rPh>
    <rPh sb="3" eb="5">
      <t>カリイレ</t>
    </rPh>
    <phoneticPr fontId="3"/>
  </si>
  <si>
    <t>300番台は区分物件の物件名称+部屋番号を入力</t>
    <rPh sb="3" eb="5">
      <t>バンダイ</t>
    </rPh>
    <rPh sb="6" eb="8">
      <t>クブン</t>
    </rPh>
    <rPh sb="8" eb="10">
      <t>ブッケン</t>
    </rPh>
    <rPh sb="11" eb="13">
      <t>ブッケン</t>
    </rPh>
    <rPh sb="13" eb="15">
      <t>メイショウ</t>
    </rPh>
    <rPh sb="16" eb="18">
      <t>ヘヤ</t>
    </rPh>
    <rPh sb="18" eb="20">
      <t>バンゴウ</t>
    </rPh>
    <rPh sb="21" eb="23">
      <t>ニュウリョク</t>
    </rPh>
    <phoneticPr fontId="3"/>
  </si>
  <si>
    <t>400番台は物件保有法人名を入力</t>
    <rPh sb="3" eb="5">
      <t>バンダイ</t>
    </rPh>
    <rPh sb="6" eb="8">
      <t>ブッケン</t>
    </rPh>
    <rPh sb="8" eb="10">
      <t>ホユウ</t>
    </rPh>
    <rPh sb="10" eb="12">
      <t>ホウジン</t>
    </rPh>
    <rPh sb="12" eb="13">
      <t>メイ</t>
    </rPh>
    <rPh sb="14" eb="16">
      <t>ニュウリョク</t>
    </rPh>
    <phoneticPr fontId="3"/>
  </si>
  <si>
    <t>500番台は相続、家族関係のある個人を入力</t>
    <rPh sb="3" eb="5">
      <t>バンダイ</t>
    </rPh>
    <rPh sb="6" eb="8">
      <t>ソウゾク</t>
    </rPh>
    <rPh sb="9" eb="11">
      <t>カゾク</t>
    </rPh>
    <rPh sb="11" eb="13">
      <t>カンケイ</t>
    </rPh>
    <rPh sb="16" eb="18">
      <t>コジン</t>
    </rPh>
    <rPh sb="19" eb="21">
      <t>ニュウリョク</t>
    </rPh>
    <phoneticPr fontId="3"/>
  </si>
  <si>
    <t>600番台は借入金融機関名を入力</t>
    <rPh sb="3" eb="5">
      <t>バンダイ</t>
    </rPh>
    <rPh sb="6" eb="8">
      <t>カリイレ</t>
    </rPh>
    <rPh sb="8" eb="10">
      <t>キンユウ</t>
    </rPh>
    <rPh sb="10" eb="13">
      <t>キカンメイ</t>
    </rPh>
    <rPh sb="14" eb="16">
      <t>ニュウリョク</t>
    </rPh>
    <phoneticPr fontId="3"/>
  </si>
  <si>
    <t>三井住友トラストL＆F</t>
  </si>
  <si>
    <t>三井住友トラストL＆F</t>
    <phoneticPr fontId="3"/>
  </si>
  <si>
    <t>ブリリア目白201</t>
  </si>
  <si>
    <t>ブリリア目白201</t>
    <phoneticPr fontId="3"/>
  </si>
  <si>
    <t>プラウド目白202</t>
  </si>
  <si>
    <t>プラウド目白202</t>
    <phoneticPr fontId="3"/>
  </si>
  <si>
    <t>パークホームズ目白203</t>
  </si>
  <si>
    <t>パークホームズ目白203</t>
    <phoneticPr fontId="3"/>
  </si>
  <si>
    <t>借入支店</t>
    <rPh sb="0" eb="2">
      <t>カリイレ</t>
    </rPh>
    <rPh sb="2" eb="4">
      <t>シテン</t>
    </rPh>
    <phoneticPr fontId="2"/>
  </si>
  <si>
    <t>管理会社</t>
    <phoneticPr fontId="3"/>
  </si>
  <si>
    <t>借入備考</t>
    <rPh sb="0" eb="2">
      <t>カリイレ</t>
    </rPh>
    <phoneticPr fontId="3"/>
  </si>
  <si>
    <t>一棟</t>
    <rPh sb="0" eb="2">
      <t>イットウ</t>
    </rPh>
    <phoneticPr fontId="3"/>
  </si>
  <si>
    <t>所有権</t>
    <rPh sb="0" eb="3">
      <t>ショユウケン</t>
    </rPh>
    <phoneticPr fontId="3"/>
  </si>
  <si>
    <t>借地権</t>
    <rPh sb="0" eb="3">
      <t>シャクチケン</t>
    </rPh>
    <phoneticPr fontId="3"/>
  </si>
  <si>
    <t>借地権条件</t>
    <rPh sb="0" eb="3">
      <t>シャクチケン</t>
    </rPh>
    <rPh sb="3" eb="5">
      <t>ジョウケン</t>
    </rPh>
    <phoneticPr fontId="3"/>
  </si>
  <si>
    <t>旧法借地・地代月30,000円</t>
    <rPh sb="0" eb="2">
      <t>キュウホウ</t>
    </rPh>
    <rPh sb="2" eb="4">
      <t>シャクチ</t>
    </rPh>
    <rPh sb="5" eb="7">
      <t>チダイ</t>
    </rPh>
    <rPh sb="7" eb="8">
      <t>ツキ</t>
    </rPh>
    <rPh sb="14" eb="15">
      <t>エン</t>
    </rPh>
    <phoneticPr fontId="3"/>
  </si>
  <si>
    <t>豊島区池袋1-2-3</t>
    <rPh sb="0" eb="3">
      <t>トシマク</t>
    </rPh>
    <rPh sb="3" eb="5">
      <t>イケブクロ</t>
    </rPh>
    <phoneticPr fontId="3"/>
  </si>
  <si>
    <t>豊島区南池袋1-8-21</t>
    <rPh sb="0" eb="3">
      <t>トシマク</t>
    </rPh>
    <rPh sb="3" eb="6">
      <t>ミナミイケブクロ</t>
    </rPh>
    <phoneticPr fontId="3"/>
  </si>
  <si>
    <t>豊島区目白1-5-1</t>
    <rPh sb="0" eb="3">
      <t>トシマク</t>
    </rPh>
    <rPh sb="3" eb="5">
      <t>メジロ</t>
    </rPh>
    <phoneticPr fontId="3"/>
  </si>
  <si>
    <t>豊島区池袋2-3-4</t>
    <rPh sb="0" eb="3">
      <t>トシマク</t>
    </rPh>
    <rPh sb="3" eb="5">
      <t>イケブクロ</t>
    </rPh>
    <phoneticPr fontId="3"/>
  </si>
  <si>
    <t>品川区五反田1-2-3</t>
    <rPh sb="0" eb="3">
      <t>シナガワク</t>
    </rPh>
    <rPh sb="3" eb="6">
      <t>ゴタンダ</t>
    </rPh>
    <phoneticPr fontId="3"/>
  </si>
  <si>
    <t>新宿区高田馬場1-2-3</t>
    <rPh sb="0" eb="7">
      <t>シンジュククタカダノババ</t>
    </rPh>
    <phoneticPr fontId="3"/>
  </si>
  <si>
    <t>豊島区大塚1-2-3</t>
    <rPh sb="0" eb="3">
      <t>トシマク</t>
    </rPh>
    <rPh sb="3" eb="5">
      <t>オオツカ</t>
    </rPh>
    <phoneticPr fontId="3"/>
  </si>
  <si>
    <t>RC/1-3F</t>
    <phoneticPr fontId="3"/>
  </si>
  <si>
    <t>データベース使い方メモ</t>
    <rPh sb="6" eb="7">
      <t>ツカ</t>
    </rPh>
    <rPh sb="8" eb="9">
      <t>カタ</t>
    </rPh>
    <phoneticPr fontId="3"/>
  </si>
  <si>
    <t>一棟物件ID</t>
    <phoneticPr fontId="3"/>
  </si>
  <si>
    <t>区分物件ID</t>
    <phoneticPr fontId="3"/>
  </si>
  <si>
    <t>保有法人ID</t>
    <phoneticPr fontId="3"/>
  </si>
  <si>
    <t>個人ID</t>
    <rPh sb="0" eb="2">
      <t>コジン</t>
    </rPh>
    <phoneticPr fontId="3"/>
  </si>
  <si>
    <t>ID100番台は借入金一覧で予約済み</t>
    <rPh sb="5" eb="7">
      <t>バンダイ</t>
    </rPh>
    <rPh sb="8" eb="11">
      <t>カリイレキン</t>
    </rPh>
    <rPh sb="11" eb="13">
      <t>イチラン</t>
    </rPh>
    <rPh sb="14" eb="16">
      <t>ヨヤク</t>
    </rPh>
    <rPh sb="16" eb="17">
      <t>ズ</t>
    </rPh>
    <phoneticPr fontId="3"/>
  </si>
  <si>
    <t>ID200番台は一棟物件の物件名称を入力</t>
    <rPh sb="5" eb="7">
      <t>バンダイ</t>
    </rPh>
    <rPh sb="8" eb="10">
      <t>イットウ</t>
    </rPh>
    <rPh sb="10" eb="12">
      <t>ブッケン</t>
    </rPh>
    <rPh sb="13" eb="15">
      <t>ブッケン</t>
    </rPh>
    <rPh sb="15" eb="17">
      <t>メイショウ</t>
    </rPh>
    <rPh sb="18" eb="20">
      <t>ニュウリョク</t>
    </rPh>
    <phoneticPr fontId="3"/>
  </si>
  <si>
    <t>JR山手線
池袋駅8分</t>
    <rPh sb="2" eb="4">
      <t>ヤマテ</t>
    </rPh>
    <rPh sb="4" eb="5">
      <t>セン</t>
    </rPh>
    <rPh sb="6" eb="8">
      <t>イケブクロ</t>
    </rPh>
    <rPh sb="8" eb="9">
      <t>エキ</t>
    </rPh>
    <rPh sb="10" eb="11">
      <t>フン</t>
    </rPh>
    <phoneticPr fontId="3"/>
  </si>
  <si>
    <t>JR山手線
池袋駅10分</t>
    <rPh sb="2" eb="4">
      <t>ヤマテ</t>
    </rPh>
    <rPh sb="4" eb="5">
      <t>セン</t>
    </rPh>
    <rPh sb="6" eb="8">
      <t>イケブクロ</t>
    </rPh>
    <rPh sb="8" eb="9">
      <t>エキ</t>
    </rPh>
    <rPh sb="11" eb="12">
      <t>フン</t>
    </rPh>
    <phoneticPr fontId="3"/>
  </si>
  <si>
    <t>JR山手線
目白駅8分</t>
    <rPh sb="2" eb="4">
      <t>ヤマテ</t>
    </rPh>
    <rPh sb="4" eb="5">
      <t>セン</t>
    </rPh>
    <rPh sb="6" eb="8">
      <t>メジロ</t>
    </rPh>
    <rPh sb="8" eb="9">
      <t>エキ</t>
    </rPh>
    <rPh sb="10" eb="11">
      <t>フン</t>
    </rPh>
    <phoneticPr fontId="3"/>
  </si>
  <si>
    <t>JR山手線
池袋駅25分</t>
    <rPh sb="2" eb="4">
      <t>ヤマテ</t>
    </rPh>
    <rPh sb="4" eb="5">
      <t>セン</t>
    </rPh>
    <rPh sb="6" eb="8">
      <t>イケブクロ</t>
    </rPh>
    <rPh sb="8" eb="9">
      <t>エキ</t>
    </rPh>
    <rPh sb="11" eb="12">
      <t>フン</t>
    </rPh>
    <phoneticPr fontId="3"/>
  </si>
  <si>
    <t>JR山手線
五反田駅30分</t>
    <rPh sb="2" eb="4">
      <t>ヤマテ</t>
    </rPh>
    <rPh sb="4" eb="5">
      <t>セン</t>
    </rPh>
    <rPh sb="6" eb="9">
      <t>ゴタンダ</t>
    </rPh>
    <rPh sb="9" eb="10">
      <t>エキ</t>
    </rPh>
    <rPh sb="12" eb="13">
      <t>フン</t>
    </rPh>
    <phoneticPr fontId="3"/>
  </si>
  <si>
    <t>JR山手線
高田馬場駅8分</t>
    <rPh sb="2" eb="4">
      <t>ヤマテ</t>
    </rPh>
    <rPh sb="4" eb="5">
      <t>セン</t>
    </rPh>
    <rPh sb="6" eb="10">
      <t>タカダノババ</t>
    </rPh>
    <rPh sb="10" eb="11">
      <t>エキ</t>
    </rPh>
    <rPh sb="12" eb="13">
      <t>フン</t>
    </rPh>
    <phoneticPr fontId="3"/>
  </si>
  <si>
    <t>JR山手線
大塚駅8分</t>
    <rPh sb="2" eb="4">
      <t>ヤマテ</t>
    </rPh>
    <rPh sb="4" eb="5">
      <t>セン</t>
    </rPh>
    <rPh sb="6" eb="8">
      <t>オオツカ</t>
    </rPh>
    <rPh sb="8" eb="9">
      <t>エキ</t>
    </rPh>
    <rPh sb="10" eb="11">
      <t>フン</t>
    </rPh>
    <phoneticPr fontId="3"/>
  </si>
  <si>
    <t>木造/1-2F</t>
    <rPh sb="0" eb="2">
      <t>モクゾウ</t>
    </rPh>
    <phoneticPr fontId="1"/>
  </si>
  <si>
    <t>鉄骨/B1-2F</t>
    <rPh sb="0" eb="2">
      <t>テッコツ</t>
    </rPh>
    <phoneticPr fontId="1"/>
  </si>
  <si>
    <t>長期保有</t>
    <rPh sb="0" eb="2">
      <t>チョウキ</t>
    </rPh>
    <rPh sb="2" eb="4">
      <t>ホユウ</t>
    </rPh>
    <phoneticPr fontId="1"/>
  </si>
  <si>
    <t>売却予定</t>
    <rPh sb="0" eb="2">
      <t>バイキャク</t>
    </rPh>
    <rPh sb="2" eb="4">
      <t>ヨテイ</t>
    </rPh>
    <phoneticPr fontId="1"/>
  </si>
  <si>
    <t>かぼちゃハウジング</t>
    <phoneticPr fontId="1"/>
  </si>
  <si>
    <t>自主管理</t>
    <rPh sb="0" eb="2">
      <t>ジシュ</t>
    </rPh>
    <rPh sb="2" eb="4">
      <t>カンリ</t>
    </rPh>
    <phoneticPr fontId="1"/>
  </si>
  <si>
    <t>交通</t>
    <phoneticPr fontId="3"/>
  </si>
  <si>
    <t>住所</t>
    <phoneticPr fontId="3"/>
  </si>
  <si>
    <t>一棟or区分</t>
    <phoneticPr fontId="3"/>
  </si>
  <si>
    <t>権利形態</t>
    <phoneticPr fontId="3"/>
  </si>
  <si>
    <t>建物構造</t>
    <phoneticPr fontId="3"/>
  </si>
  <si>
    <t>建物築年</t>
    <phoneticPr fontId="3"/>
  </si>
  <si>
    <t>用途と計画</t>
    <phoneticPr fontId="3"/>
  </si>
  <si>
    <t>購入年月</t>
    <phoneticPr fontId="3"/>
  </si>
  <si>
    <t>共同担保としての提供</t>
    <phoneticPr fontId="3"/>
  </si>
  <si>
    <t>固定資産税路線価</t>
    <phoneticPr fontId="3"/>
  </si>
  <si>
    <t>相続税路線価</t>
    <phoneticPr fontId="3"/>
  </si>
  <si>
    <t>敷金預かり債務</t>
    <rPh sb="0" eb="2">
      <t>シキキン</t>
    </rPh>
    <rPh sb="2" eb="3">
      <t>アズ</t>
    </rPh>
    <rPh sb="5" eb="7">
      <t>サイム</t>
    </rPh>
    <phoneticPr fontId="3"/>
  </si>
  <si>
    <t>その他資産（非流動性）</t>
    <rPh sb="2" eb="3">
      <t>タ</t>
    </rPh>
    <rPh sb="3" eb="5">
      <t>シサン</t>
    </rPh>
    <rPh sb="6" eb="7">
      <t>ヒ</t>
    </rPh>
    <rPh sb="7" eb="10">
      <t>リュウドウセイ</t>
    </rPh>
    <phoneticPr fontId="1"/>
  </si>
  <si>
    <t>123456789012</t>
  </si>
  <si>
    <t>123456789013</t>
  </si>
  <si>
    <t>123456789014</t>
  </si>
  <si>
    <t>123456789015</t>
  </si>
  <si>
    <t>123456789016</t>
  </si>
  <si>
    <t>123456789017</t>
  </si>
  <si>
    <r>
      <t>前回決算</t>
    </r>
    <r>
      <rPr>
        <sz val="11"/>
        <color theme="1"/>
        <rFont val="游ゴシック"/>
        <family val="2"/>
        <charset val="128"/>
        <scheme val="minor"/>
      </rPr>
      <t>は何期目か</t>
    </r>
    <rPh sb="0" eb="2">
      <t>ゼンカイ</t>
    </rPh>
    <rPh sb="5" eb="8">
      <t>ナンキメ</t>
    </rPh>
    <phoneticPr fontId="1"/>
  </si>
  <si>
    <t>-</t>
    <phoneticPr fontId="1"/>
  </si>
  <si>
    <t>データ上の扱いは400番台と同じである。</t>
    <rPh sb="3" eb="4">
      <t>ジョウ</t>
    </rPh>
    <rPh sb="5" eb="6">
      <t>アツカ</t>
    </rPh>
    <rPh sb="11" eb="13">
      <t>バンダイ</t>
    </rPh>
    <rPh sb="14" eb="15">
      <t>オナ</t>
    </rPh>
    <phoneticPr fontId="1"/>
  </si>
  <si>
    <t>資産クラス</t>
    <rPh sb="0" eb="2">
      <t>シサン</t>
    </rPh>
    <phoneticPr fontId="1"/>
  </si>
  <si>
    <t>金融資産(非流動性)</t>
    <rPh sb="0" eb="2">
      <t>キンユウ</t>
    </rPh>
    <rPh sb="2" eb="4">
      <t>シサン</t>
    </rPh>
    <rPh sb="5" eb="6">
      <t>ヒ</t>
    </rPh>
    <rPh sb="6" eb="9">
      <t>リュウドウセイ</t>
    </rPh>
    <phoneticPr fontId="1"/>
  </si>
  <si>
    <t>オペレーティングリース(B737-800匿名組合出資)</t>
    <rPh sb="20" eb="22">
      <t>トクメイ</t>
    </rPh>
    <rPh sb="22" eb="24">
      <t>クミアイ</t>
    </rPh>
    <rPh sb="24" eb="26">
      <t>シュッシ</t>
    </rPh>
    <phoneticPr fontId="1"/>
  </si>
  <si>
    <t>株式・債券等証券（流動性）</t>
    <rPh sb="0" eb="2">
      <t>カブシキ</t>
    </rPh>
    <rPh sb="3" eb="5">
      <t>サイケン</t>
    </rPh>
    <rPh sb="5" eb="6">
      <t>トウ</t>
    </rPh>
    <rPh sb="6" eb="8">
      <t>ショウケン</t>
    </rPh>
    <rPh sb="9" eb="12">
      <t>リュウドウセイ</t>
    </rPh>
    <phoneticPr fontId="1"/>
  </si>
  <si>
    <t>資産名称</t>
    <rPh sb="0" eb="2">
      <t>シサン</t>
    </rPh>
    <rPh sb="2" eb="4">
      <t>メイショウ</t>
    </rPh>
    <phoneticPr fontId="1"/>
  </si>
  <si>
    <t>山梨県太陽光設備</t>
    <rPh sb="0" eb="3">
      <t>ヤマナシケン</t>
    </rPh>
    <rPh sb="3" eb="6">
      <t>タイヨウコウ</t>
    </rPh>
    <rPh sb="6" eb="8">
      <t>セツビ</t>
    </rPh>
    <phoneticPr fontId="1"/>
  </si>
  <si>
    <t>鳥取県太陽光設備</t>
    <rPh sb="0" eb="3">
      <t>トットリケン</t>
    </rPh>
    <rPh sb="3" eb="6">
      <t>タイヨウコウ</t>
    </rPh>
    <rPh sb="6" eb="8">
      <t>セツビ</t>
    </rPh>
    <phoneticPr fontId="1"/>
  </si>
  <si>
    <t>大手N証券</t>
    <rPh sb="0" eb="2">
      <t>オオテ</t>
    </rPh>
    <rPh sb="3" eb="5">
      <t>ショウケン</t>
    </rPh>
    <phoneticPr fontId="1"/>
  </si>
  <si>
    <t>その他の借入金</t>
    <rPh sb="2" eb="3">
      <t>タ</t>
    </rPh>
    <rPh sb="4" eb="7">
      <t>カリイレキン</t>
    </rPh>
    <phoneticPr fontId="3"/>
  </si>
  <si>
    <t>借入主体</t>
    <rPh sb="0" eb="2">
      <t>カリイレ</t>
    </rPh>
    <rPh sb="2" eb="4">
      <t>シュタイ</t>
    </rPh>
    <phoneticPr fontId="1"/>
  </si>
  <si>
    <t>対応資産</t>
    <rPh sb="0" eb="2">
      <t>タイオウ</t>
    </rPh>
    <rPh sb="2" eb="4">
      <t>シサン</t>
    </rPh>
    <phoneticPr fontId="1"/>
  </si>
  <si>
    <t>グループ各社</t>
    <rPh sb="4" eb="6">
      <t>カクシャ</t>
    </rPh>
    <phoneticPr fontId="1"/>
  </si>
  <si>
    <t>同上</t>
    <rPh sb="0" eb="2">
      <t>ドウジョウ</t>
    </rPh>
    <phoneticPr fontId="3"/>
  </si>
  <si>
    <t>為替レート</t>
    <rPh sb="0" eb="2">
      <t>カワセ</t>
    </rPh>
    <phoneticPr fontId="3"/>
  </si>
  <si>
    <t>金融資産(流動性/現金相当物)</t>
    <rPh sb="0" eb="2">
      <t>キンユウ</t>
    </rPh>
    <rPh sb="2" eb="4">
      <t>シサン</t>
    </rPh>
    <rPh sb="5" eb="8">
      <t>リュウドウセイ</t>
    </rPh>
    <rPh sb="9" eb="11">
      <t>ゲンキン</t>
    </rPh>
    <rPh sb="11" eb="13">
      <t>ソウトウ</t>
    </rPh>
    <rPh sb="13" eb="14">
      <t>ブツ</t>
    </rPh>
    <phoneticPr fontId="1"/>
  </si>
  <si>
    <t>海外インデックスファンド</t>
    <rPh sb="0" eb="2">
      <t>カイガイ</t>
    </rPh>
    <phoneticPr fontId="1"/>
  </si>
  <si>
    <t>玉川陽介個人</t>
    <rPh sb="0" eb="4">
      <t>ナマエ</t>
    </rPh>
    <rPh sb="4" eb="6">
      <t>コジン</t>
    </rPh>
    <phoneticPr fontId="1"/>
  </si>
  <si>
    <t>香港HSBCプレミア</t>
    <rPh sb="0" eb="2">
      <t>ホンコン</t>
    </rPh>
    <phoneticPr fontId="1"/>
  </si>
  <si>
    <t>高級外車</t>
    <rPh sb="0" eb="2">
      <t>コウキュウ</t>
    </rPh>
    <rPh sb="2" eb="4">
      <t>ガイシャ</t>
    </rPh>
    <phoneticPr fontId="1"/>
  </si>
  <si>
    <t>海外コンドミニアム</t>
    <rPh sb="0" eb="2">
      <t>カイガイ</t>
    </rPh>
    <phoneticPr fontId="1"/>
  </si>
  <si>
    <t>現地通貨建て金額</t>
    <rPh sb="0" eb="2">
      <t>ゲンチ</t>
    </rPh>
    <rPh sb="2" eb="5">
      <t>ツウカダ</t>
    </rPh>
    <rPh sb="6" eb="8">
      <t>キンガク</t>
    </rPh>
    <phoneticPr fontId="1"/>
  </si>
  <si>
    <t>日本円換算金額</t>
    <rPh sb="0" eb="2">
      <t>ニホン</t>
    </rPh>
    <rPh sb="2" eb="5">
      <t>エンカンサン</t>
    </rPh>
    <rPh sb="5" eb="7">
      <t>キンガク</t>
    </rPh>
    <phoneticPr fontId="1"/>
  </si>
  <si>
    <t>日経225ETFなど</t>
    <rPh sb="0" eb="2">
      <t>ニッケイ</t>
    </rPh>
    <phoneticPr fontId="1"/>
  </si>
  <si>
    <t>玉川陽介個人</t>
    <rPh sb="0" eb="4">
      <t>タマガワ</t>
    </rPh>
    <rPh sb="4" eb="6">
      <t>コジン</t>
    </rPh>
    <phoneticPr fontId="3"/>
  </si>
  <si>
    <t>アプラス自動車ローン</t>
    <rPh sb="4" eb="7">
      <t>ジドウシャ</t>
    </rPh>
    <phoneticPr fontId="1"/>
  </si>
  <si>
    <t>シンガポール商業銀行</t>
    <rPh sb="6" eb="8">
      <t>ショウギョウ</t>
    </rPh>
    <rPh sb="8" eb="10">
      <t>ギンコウ</t>
    </rPh>
    <phoneticPr fontId="1"/>
  </si>
  <si>
    <t>決算書に非計上の負債</t>
    <rPh sb="0" eb="3">
      <t>ケッサンショ</t>
    </rPh>
    <rPh sb="4" eb="5">
      <t>ヒ</t>
    </rPh>
    <rPh sb="5" eb="7">
      <t>ケイジョウ</t>
    </rPh>
    <rPh sb="8" eb="10">
      <t>フサイ</t>
    </rPh>
    <phoneticPr fontId="1"/>
  </si>
  <si>
    <t>自宅保管</t>
    <rPh sb="0" eb="2">
      <t>ジタク</t>
    </rPh>
    <rPh sb="2" eb="4">
      <t>ホカン</t>
    </rPh>
    <phoneticPr fontId="1"/>
  </si>
  <si>
    <t>金塊</t>
    <rPh sb="0" eb="2">
      <t>キンカイ</t>
    </rPh>
    <phoneticPr fontId="1"/>
  </si>
  <si>
    <t>現預金</t>
    <rPh sb="0" eb="3">
      <t>ゲンヨキン</t>
    </rPh>
    <phoneticPr fontId="1"/>
  </si>
  <si>
    <t>会社金庫</t>
    <rPh sb="0" eb="2">
      <t>カイシャ</t>
    </rPh>
    <rPh sb="2" eb="4">
      <t>キンコ</t>
    </rPh>
    <phoneticPr fontId="1"/>
  </si>
  <si>
    <t>現金</t>
    <rPh sb="0" eb="2">
      <t>ゲンキン</t>
    </rPh>
    <phoneticPr fontId="1"/>
  </si>
  <si>
    <t>現金相当物合計:</t>
    <rPh sb="0" eb="2">
      <t>ゲンキン</t>
    </rPh>
    <rPh sb="2" eb="4">
      <t>ソウトウ</t>
    </rPh>
    <rPh sb="4" eb="5">
      <t>ブツ</t>
    </rPh>
    <rPh sb="5" eb="7">
      <t>ゴウケイ</t>
    </rPh>
    <phoneticPr fontId="1"/>
  </si>
  <si>
    <t>非流動性資産合計:</t>
    <rPh sb="0" eb="1">
      <t>ヒ</t>
    </rPh>
    <rPh sb="1" eb="4">
      <t>リュウドウセイ</t>
    </rPh>
    <rPh sb="4" eb="6">
      <t>シサン</t>
    </rPh>
    <rPh sb="6" eb="8">
      <t>ゴウケイ</t>
    </rPh>
    <phoneticPr fontId="1"/>
  </si>
  <si>
    <t>簿外借入合計:</t>
    <rPh sb="0" eb="2">
      <t>ボガイ</t>
    </rPh>
    <rPh sb="2" eb="4">
      <t>カリイレ</t>
    </rPh>
    <rPh sb="4" eb="6">
      <t>ゴウケイ</t>
    </rPh>
    <phoneticPr fontId="1"/>
  </si>
  <si>
    <t>購入価格</t>
    <rPh sb="0" eb="2">
      <t>コウニュウ</t>
    </rPh>
    <rPh sb="2" eb="4">
      <t>カカク</t>
    </rPh>
    <phoneticPr fontId="1"/>
  </si>
  <si>
    <t>借地権の場合の条件</t>
    <rPh sb="0" eb="3">
      <t>シャクチケン</t>
    </rPh>
    <rPh sb="4" eb="6">
      <t>バアイ</t>
    </rPh>
    <rPh sb="7" eb="9">
      <t>ジョウケン</t>
    </rPh>
    <phoneticPr fontId="3"/>
  </si>
  <si>
    <t>イオンプロダクトファイナンス</t>
  </si>
  <si>
    <t>イオンプロダクトファイナンス</t>
    <phoneticPr fontId="1"/>
  </si>
  <si>
    <t>目白支店</t>
    <rPh sb="0" eb="2">
      <t>メジロ</t>
    </rPh>
    <rPh sb="2" eb="4">
      <t>シテン</t>
    </rPh>
    <phoneticPr fontId="2"/>
  </si>
  <si>
    <t>高田馬場支店</t>
    <rPh sb="0" eb="4">
      <t>タカダノババ</t>
    </rPh>
    <rPh sb="4" eb="6">
      <t>シテン</t>
    </rPh>
    <phoneticPr fontId="2"/>
  </si>
  <si>
    <t>池袋支店</t>
    <rPh sb="0" eb="2">
      <t>イケブクロ</t>
    </rPh>
    <rPh sb="2" eb="4">
      <t>シテン</t>
    </rPh>
    <phoneticPr fontId="2"/>
  </si>
  <si>
    <t>大塚支店</t>
    <rPh sb="0" eb="2">
      <t>オオツカ</t>
    </rPh>
    <rPh sb="2" eb="4">
      <t>シテン</t>
    </rPh>
    <phoneticPr fontId="2"/>
  </si>
  <si>
    <t>巣鴨支店</t>
    <rPh sb="0" eb="2">
      <t>スガモ</t>
    </rPh>
    <rPh sb="2" eb="4">
      <t>シテン</t>
    </rPh>
    <phoneticPr fontId="2"/>
  </si>
  <si>
    <t>東京支店</t>
    <rPh sb="0" eb="2">
      <t>トウキョウ</t>
    </rPh>
    <rPh sb="2" eb="4">
      <t>シテン</t>
    </rPh>
    <phoneticPr fontId="2"/>
  </si>
  <si>
    <t>神奈川支店</t>
    <rPh sb="0" eb="3">
      <t>カナガワ</t>
    </rPh>
    <rPh sb="3" eb="5">
      <t>シテン</t>
    </rPh>
    <phoneticPr fontId="2"/>
  </si>
  <si>
    <t>本店</t>
    <rPh sb="0" eb="2">
      <t>ホンテン</t>
    </rPh>
    <phoneticPr fontId="2"/>
  </si>
  <si>
    <t>巣鴨信金</t>
  </si>
  <si>
    <t>巣鴨信金</t>
    <rPh sb="0" eb="2">
      <t>スガモ</t>
    </rPh>
    <rPh sb="2" eb="4">
      <t>シンキン</t>
    </rPh>
    <phoneticPr fontId="1"/>
  </si>
  <si>
    <t>担保ID</t>
    <rPh sb="0" eb="2">
      <t>タンポ</t>
    </rPh>
    <phoneticPr fontId="2"/>
  </si>
  <si>
    <t>三井住友銀行</t>
  </si>
  <si>
    <t>三井住友銀行</t>
    <rPh sb="0" eb="2">
      <t>ミツイ</t>
    </rPh>
    <rPh sb="2" eb="4">
      <t>スミトモ</t>
    </rPh>
    <rPh sb="4" eb="6">
      <t>ギンコウ</t>
    </rPh>
    <phoneticPr fontId="1"/>
  </si>
  <si>
    <t>六本木ヒルズB棟3099</t>
  </si>
  <si>
    <t>六本木ヒルズB棟3099</t>
    <rPh sb="0" eb="3">
      <t>ロッポンギ</t>
    </rPh>
    <rPh sb="7" eb="8">
      <t>トウ</t>
    </rPh>
    <phoneticPr fontId="1"/>
  </si>
  <si>
    <t>東京メトロ日比谷線
六本木駅3分</t>
    <rPh sb="0" eb="2">
      <t>トウキョウ</t>
    </rPh>
    <rPh sb="5" eb="8">
      <t>ヒビヤ</t>
    </rPh>
    <rPh sb="8" eb="9">
      <t>セン</t>
    </rPh>
    <rPh sb="10" eb="13">
      <t>ロッポンギ</t>
    </rPh>
    <rPh sb="13" eb="14">
      <t>エキ</t>
    </rPh>
    <rPh sb="15" eb="16">
      <t>フン</t>
    </rPh>
    <phoneticPr fontId="1"/>
  </si>
  <si>
    <t>借入主体会社ID</t>
    <phoneticPr fontId="2"/>
  </si>
  <si>
    <t>変動</t>
    <rPh sb="0" eb="2">
      <t>ヘンドウ</t>
    </rPh>
    <phoneticPr fontId="2"/>
  </si>
  <si>
    <t>固定10年</t>
    <rPh sb="0" eb="2">
      <t>コテイ</t>
    </rPh>
    <rPh sb="4" eb="5">
      <t>ネン</t>
    </rPh>
    <phoneticPr fontId="2"/>
  </si>
  <si>
    <t>有</t>
    <rPh sb="0" eb="1">
      <t>ア</t>
    </rPh>
    <phoneticPr fontId="2"/>
  </si>
  <si>
    <t>無</t>
    <rPh sb="0" eb="1">
      <t>ム</t>
    </rPh>
    <phoneticPr fontId="2"/>
  </si>
  <si>
    <t>保証協会</t>
    <rPh sb="0" eb="2">
      <t>ホショウ</t>
    </rPh>
    <rPh sb="2" eb="4">
      <t>キョウカイ</t>
    </rPh>
    <phoneticPr fontId="2"/>
  </si>
  <si>
    <t>元金均等</t>
    <rPh sb="0" eb="2">
      <t>ガンキン</t>
    </rPh>
    <rPh sb="2" eb="4">
      <t>キントウ</t>
    </rPh>
    <phoneticPr fontId="2"/>
  </si>
  <si>
    <t>元利均等</t>
    <rPh sb="0" eb="2">
      <t>ガンリ</t>
    </rPh>
    <rPh sb="2" eb="4">
      <t>キントウ</t>
    </rPh>
    <phoneticPr fontId="2"/>
  </si>
  <si>
    <t>左記日付時点の集計</t>
    <rPh sb="0" eb="2">
      <t>サキ</t>
    </rPh>
    <rPh sb="2" eb="4">
      <t>ヒヅケ</t>
    </rPh>
    <rPh sb="4" eb="6">
      <t>ジテン</t>
    </rPh>
    <rPh sb="7" eb="9">
      <t>シュウケイ</t>
    </rPh>
    <phoneticPr fontId="3"/>
  </si>
  <si>
    <t>金融機関別借入</t>
    <rPh sb="0" eb="2">
      <t>キンユウ</t>
    </rPh>
    <rPh sb="2" eb="5">
      <t>キカンベツ</t>
    </rPh>
    <rPh sb="5" eb="7">
      <t>カリイレ</t>
    </rPh>
    <phoneticPr fontId="3"/>
  </si>
  <si>
    <t>行ラベル</t>
  </si>
  <si>
    <t>総計</t>
  </si>
  <si>
    <t>合計 / 残債</t>
  </si>
  <si>
    <t>借入種類</t>
  </si>
  <si>
    <t>会社別銀行借入</t>
    <rPh sb="0" eb="2">
      <t>カイシャ</t>
    </rPh>
    <rPh sb="2" eb="3">
      <t>ベツ</t>
    </rPh>
    <rPh sb="3" eb="5">
      <t>ギンコウ</t>
    </rPh>
    <rPh sb="5" eb="7">
      <t>カリイレ</t>
    </rPh>
    <phoneticPr fontId="3"/>
  </si>
  <si>
    <t>賃貸用不動産</t>
  </si>
  <si>
    <t>賃貸用不動産</t>
    <rPh sb="0" eb="3">
      <t>チンタイヨウ</t>
    </rPh>
    <rPh sb="3" eb="6">
      <t>フドウサン</t>
    </rPh>
    <phoneticPr fontId="3"/>
  </si>
  <si>
    <t>物件別銀行借入</t>
    <rPh sb="0" eb="3">
      <t>ブッケンベツ</t>
    </rPh>
    <rPh sb="3" eb="5">
      <t>ギンコウ</t>
    </rPh>
    <rPh sb="5" eb="7">
      <t>カリイレ</t>
    </rPh>
    <phoneticPr fontId="3"/>
  </si>
  <si>
    <t>1元金返済月額</t>
  </si>
  <si>
    <t>2利息月額</t>
  </si>
  <si>
    <t>3支払月額</t>
  </si>
  <si>
    <t>物件名</t>
  </si>
  <si>
    <t>金融機関別利率（参考）</t>
    <rPh sb="0" eb="2">
      <t>キンユウ</t>
    </rPh>
    <rPh sb="2" eb="5">
      <t>キカンベツ</t>
    </rPh>
    <rPh sb="5" eb="7">
      <t>リリツ</t>
    </rPh>
    <rPh sb="8" eb="10">
      <t>サンコウ</t>
    </rPh>
    <phoneticPr fontId="1"/>
  </si>
  <si>
    <t>加重平均金利</t>
  </si>
  <si>
    <t>4平均金利</t>
  </si>
  <si>
    <t>5残債</t>
  </si>
  <si>
    <t>減価償却（概算）</t>
    <rPh sb="0" eb="2">
      <t>ゲンカ</t>
    </rPh>
    <rPh sb="2" eb="4">
      <t>ショウキャク</t>
    </rPh>
    <rPh sb="5" eb="7">
      <t>ガイサン</t>
    </rPh>
    <phoneticPr fontId="3"/>
  </si>
  <si>
    <t>2018年03月31日現在簿価</t>
  </si>
  <si>
    <t>物件名</t>
    <rPh sb="0" eb="3">
      <t>ブッケンメイ</t>
    </rPh>
    <phoneticPr fontId="3"/>
  </si>
  <si>
    <t>取得時簿価</t>
    <rPh sb="0" eb="3">
      <t>シュトクジ</t>
    </rPh>
    <rPh sb="3" eb="5">
      <t>ボカ</t>
    </rPh>
    <phoneticPr fontId="3"/>
  </si>
  <si>
    <t>a.土地合計</t>
    <rPh sb="2" eb="4">
      <t>トチ</t>
    </rPh>
    <rPh sb="4" eb="6">
      <t>ゴウケイ</t>
    </rPh>
    <phoneticPr fontId="3"/>
  </si>
  <si>
    <t>b.建物等合計</t>
    <rPh sb="2" eb="4">
      <t>タテモノ</t>
    </rPh>
    <rPh sb="4" eb="5">
      <t>トウ</t>
    </rPh>
    <rPh sb="5" eb="7">
      <t>ゴウケイ</t>
    </rPh>
    <phoneticPr fontId="3"/>
  </si>
  <si>
    <t>c.土地建物計
(a+b)</t>
    <rPh sb="2" eb="4">
      <t>トチ</t>
    </rPh>
    <rPh sb="4" eb="6">
      <t>タテモノ</t>
    </rPh>
    <rPh sb="6" eb="7">
      <t>ケイ</t>
    </rPh>
    <phoneticPr fontId="3"/>
  </si>
  <si>
    <t>d.土地合計</t>
    <rPh sb="2" eb="4">
      <t>トチ</t>
    </rPh>
    <rPh sb="4" eb="6">
      <t>ゴウケイ</t>
    </rPh>
    <phoneticPr fontId="3"/>
  </si>
  <si>
    <t>e.建物等合計</t>
    <rPh sb="2" eb="4">
      <t>タテモノ</t>
    </rPh>
    <rPh sb="4" eb="5">
      <t>トウ</t>
    </rPh>
    <rPh sb="5" eb="7">
      <t>ゴウケイ</t>
    </rPh>
    <phoneticPr fontId="3"/>
  </si>
  <si>
    <t>f.建物</t>
    <phoneticPr fontId="3"/>
  </si>
  <si>
    <t>g.建物附属設備</t>
    <phoneticPr fontId="3"/>
  </si>
  <si>
    <t>h.器具備品</t>
    <rPh sb="2" eb="4">
      <t>キグ</t>
    </rPh>
    <rPh sb="4" eb="6">
      <t>ビヒン</t>
    </rPh>
    <phoneticPr fontId="3"/>
  </si>
  <si>
    <t>i.構築物</t>
    <phoneticPr fontId="3"/>
  </si>
  <si>
    <t>j.繰延資産</t>
    <phoneticPr fontId="3"/>
  </si>
  <si>
    <t>k.償却1年計
(f～j合計)</t>
    <rPh sb="2" eb="4">
      <t>ショウキャク</t>
    </rPh>
    <rPh sb="5" eb="6">
      <t>ネン</t>
    </rPh>
    <rPh sb="6" eb="7">
      <t>ケイ</t>
    </rPh>
    <rPh sb="12" eb="14">
      <t>ゴウケイ</t>
    </rPh>
    <phoneticPr fontId="3"/>
  </si>
  <si>
    <t>2018年度(今期1年間)の償却額</t>
    <rPh sb="4" eb="5">
      <t>ネン</t>
    </rPh>
    <rPh sb="5" eb="6">
      <t>ド</t>
    </rPh>
    <rPh sb="7" eb="9">
      <t>コンキ</t>
    </rPh>
    <rPh sb="10" eb="11">
      <t>ネン</t>
    </rPh>
    <rPh sb="11" eb="12">
      <t>カン</t>
    </rPh>
    <rPh sb="14" eb="17">
      <t>ショウキャクガク</t>
    </rPh>
    <phoneticPr fontId="3"/>
  </si>
  <si>
    <t>aと同じ</t>
    <rPh sb="2" eb="3">
      <t>オナ</t>
    </rPh>
    <phoneticPr fontId="1"/>
  </si>
  <si>
    <t>〃</t>
  </si>
  <si>
    <t>部屋ID</t>
    <rPh sb="0" eb="2">
      <t>ヘヤ</t>
    </rPh>
    <phoneticPr fontId="3"/>
  </si>
  <si>
    <t>部屋名</t>
    <rPh sb="0" eb="2">
      <t>ヘヤ</t>
    </rPh>
    <rPh sb="2" eb="3">
      <t>メイ</t>
    </rPh>
    <phoneticPr fontId="3"/>
  </si>
  <si>
    <t>平米</t>
    <rPh sb="0" eb="2">
      <t>ヘイベイ</t>
    </rPh>
    <phoneticPr fontId="3"/>
  </si>
  <si>
    <t>クラス詳細</t>
    <rPh sb="3" eb="5">
      <t>ショウサイ</t>
    </rPh>
    <phoneticPr fontId="3"/>
  </si>
  <si>
    <t>メモ</t>
    <phoneticPr fontId="3"/>
  </si>
  <si>
    <t>クラスID</t>
    <phoneticPr fontId="4"/>
  </si>
  <si>
    <t>住居</t>
  </si>
  <si>
    <t>事務所</t>
  </si>
  <si>
    <t>店舗</t>
  </si>
  <si>
    <t>アンテナ</t>
  </si>
  <si>
    <t>自販機</t>
  </si>
  <si>
    <t>倉庫</t>
  </si>
  <si>
    <t>民泊</t>
  </si>
  <si>
    <t>シェアハウス</t>
    <phoneticPr fontId="1"/>
  </si>
  <si>
    <t>大分類</t>
    <rPh sb="0" eb="3">
      <t>ダイブンルイ</t>
    </rPh>
    <phoneticPr fontId="1"/>
  </si>
  <si>
    <t>住居</t>
    <rPh sb="0" eb="2">
      <t>ジュウキョ</t>
    </rPh>
    <phoneticPr fontId="1"/>
  </si>
  <si>
    <t>事務所/店舗</t>
    <rPh sb="0" eb="3">
      <t>ジムショ</t>
    </rPh>
    <rPh sb="4" eb="6">
      <t>テンポ</t>
    </rPh>
    <phoneticPr fontId="1"/>
  </si>
  <si>
    <t>駐車場</t>
    <rPh sb="0" eb="3">
      <t>チュウシャジョウ</t>
    </rPh>
    <phoneticPr fontId="1"/>
  </si>
  <si>
    <t>オペレーショナル</t>
    <phoneticPr fontId="1"/>
  </si>
  <si>
    <t>金融機関ID</t>
    <rPh sb="0" eb="2">
      <t>キンユウ</t>
    </rPh>
    <rPh sb="2" eb="4">
      <t>キカン</t>
    </rPh>
    <phoneticPr fontId="3"/>
  </si>
  <si>
    <t>アセットクラスID</t>
    <phoneticPr fontId="3"/>
  </si>
  <si>
    <t>クラス大分類</t>
    <rPh sb="3" eb="6">
      <t>ダイブンルイ</t>
    </rPh>
    <phoneticPr fontId="3"/>
  </si>
  <si>
    <t>現賃料</t>
    <rPh sb="0" eb="1">
      <t>ゲン</t>
    </rPh>
    <rPh sb="1" eb="3">
      <t>チンリョウ</t>
    </rPh>
    <phoneticPr fontId="3"/>
  </si>
  <si>
    <t>現共益費</t>
    <rPh sb="1" eb="4">
      <t>キョウエキヒ</t>
    </rPh>
    <phoneticPr fontId="3"/>
  </si>
  <si>
    <t>現消費税</t>
    <rPh sb="0" eb="1">
      <t>ゲン</t>
    </rPh>
    <rPh sb="1" eb="4">
      <t>ショウヒゼイ</t>
    </rPh>
    <phoneticPr fontId="3"/>
  </si>
  <si>
    <t>一時的な空室</t>
    <rPh sb="0" eb="3">
      <t>イチジテキ</t>
    </rPh>
    <rPh sb="4" eb="6">
      <t>クウシツ</t>
    </rPh>
    <phoneticPr fontId="4"/>
  </si>
  <si>
    <t>再募集中</t>
    <rPh sb="0" eb="3">
      <t>サイボシュウ</t>
    </rPh>
    <rPh sb="3" eb="4">
      <t>チュウ</t>
    </rPh>
    <phoneticPr fontId="4"/>
  </si>
  <si>
    <t>現況賃料計</t>
    <rPh sb="0" eb="2">
      <t>ゲンキョウ</t>
    </rPh>
    <rPh sb="2" eb="4">
      <t>チンリョウ</t>
    </rPh>
    <rPh sb="4" eb="5">
      <t>ケイ</t>
    </rPh>
    <phoneticPr fontId="3"/>
  </si>
  <si>
    <t>募集停止</t>
    <rPh sb="0" eb="2">
      <t>ボシュウ</t>
    </rPh>
    <rPh sb="2" eb="4">
      <t>テイシ</t>
    </rPh>
    <phoneticPr fontId="4"/>
  </si>
  <si>
    <t>オーナー自己使用</t>
    <rPh sb="4" eb="6">
      <t>ジコ</t>
    </rPh>
    <rPh sb="6" eb="8">
      <t>シヨウ</t>
    </rPh>
    <phoneticPr fontId="4"/>
  </si>
  <si>
    <t>RF</t>
    <phoneticPr fontId="4"/>
  </si>
  <si>
    <t>P1</t>
    <phoneticPr fontId="4"/>
  </si>
  <si>
    <t>-</t>
    <phoneticPr fontId="4"/>
  </si>
  <si>
    <t>P2</t>
  </si>
  <si>
    <t>P3</t>
  </si>
  <si>
    <t>401</t>
    <phoneticPr fontId="4"/>
  </si>
  <si>
    <t>402</t>
    <phoneticPr fontId="4"/>
  </si>
  <si>
    <t>再募集想定額計</t>
    <rPh sb="0" eb="3">
      <t>サイボシュウ</t>
    </rPh>
    <rPh sb="3" eb="6">
      <t>ソウテイガク</t>
    </rPh>
    <rPh sb="6" eb="7">
      <t>ケイ</t>
    </rPh>
    <phoneticPr fontId="3"/>
  </si>
  <si>
    <t>102</t>
    <phoneticPr fontId="4"/>
  </si>
  <si>
    <t>201</t>
    <phoneticPr fontId="4"/>
  </si>
  <si>
    <t>202</t>
    <phoneticPr fontId="4"/>
  </si>
  <si>
    <t>203</t>
    <phoneticPr fontId="4"/>
  </si>
  <si>
    <t>3099</t>
    <phoneticPr fontId="4"/>
  </si>
  <si>
    <t>P</t>
    <phoneticPr fontId="4"/>
  </si>
  <si>
    <t>事務所/店舗</t>
  </si>
  <si>
    <t>オペレーショナル</t>
  </si>
  <si>
    <t>シェアハウス</t>
  </si>
  <si>
    <t>その他</t>
  </si>
  <si>
    <t>物件ID</t>
    <rPh sb="0" eb="2">
      <t>ブッケン</t>
    </rPh>
    <phoneticPr fontId="3"/>
  </si>
  <si>
    <t>種類</t>
    <rPh sb="0" eb="2">
      <t>シュルイ</t>
    </rPh>
    <phoneticPr fontId="3"/>
  </si>
  <si>
    <t>合計</t>
    <rPh sb="0" eb="2">
      <t>ゴウケイ</t>
    </rPh>
    <phoneticPr fontId="3"/>
  </si>
  <si>
    <t>公共料金</t>
    <rPh sb="0" eb="2">
      <t>コウキョウ</t>
    </rPh>
    <rPh sb="2" eb="4">
      <t>リョウキン</t>
    </rPh>
    <phoneticPr fontId="3"/>
  </si>
  <si>
    <t>管理費</t>
  </si>
  <si>
    <t>管理費</t>
    <rPh sb="0" eb="3">
      <t>カンリヒ</t>
    </rPh>
    <phoneticPr fontId="3"/>
  </si>
  <si>
    <t>修繕積立金</t>
  </si>
  <si>
    <t>修繕積立金</t>
    <rPh sb="0" eb="2">
      <t>シュウゼン</t>
    </rPh>
    <rPh sb="2" eb="5">
      <t>ツミタテキン</t>
    </rPh>
    <phoneticPr fontId="3"/>
  </si>
  <si>
    <t>(空白)</t>
  </si>
  <si>
    <t>列ラベル</t>
  </si>
  <si>
    <t>公共料金</t>
  </si>
  <si>
    <t>BM建物管理料</t>
  </si>
  <si>
    <t>BM建物管理料</t>
    <phoneticPr fontId="3"/>
  </si>
  <si>
    <t>合計 / 合計</t>
  </si>
  <si>
    <t>クラス</t>
  </si>
  <si>
    <t>土地建物 筆の一覧　固定資産税評価額/固定資産税/都市計画税額</t>
    <rPh sb="0" eb="2">
      <t>トチ</t>
    </rPh>
    <rPh sb="2" eb="4">
      <t>タテモノ</t>
    </rPh>
    <rPh sb="5" eb="6">
      <t>フデ</t>
    </rPh>
    <rPh sb="7" eb="9">
      <t>イチラン</t>
    </rPh>
    <rPh sb="10" eb="12">
      <t>コテイ</t>
    </rPh>
    <rPh sb="12" eb="15">
      <t>シサンゼイ</t>
    </rPh>
    <rPh sb="15" eb="18">
      <t>ヒョウカガク</t>
    </rPh>
    <rPh sb="19" eb="21">
      <t>コテイ</t>
    </rPh>
    <rPh sb="21" eb="24">
      <t>シサンゼイ</t>
    </rPh>
    <rPh sb="25" eb="27">
      <t>トシ</t>
    </rPh>
    <rPh sb="27" eb="29">
      <t>ケイカク</t>
    </rPh>
    <rPh sb="29" eb="30">
      <t>ゼイ</t>
    </rPh>
    <rPh sb="30" eb="31">
      <t>ガク</t>
    </rPh>
    <phoneticPr fontId="3"/>
  </si>
  <si>
    <t>連番</t>
    <rPh sb="0" eb="2">
      <t>レンバン</t>
    </rPh>
    <phoneticPr fontId="3"/>
  </si>
  <si>
    <t>地番</t>
    <rPh sb="0" eb="2">
      <t>チバン</t>
    </rPh>
    <phoneticPr fontId="3"/>
  </si>
  <si>
    <t>家屋番号</t>
    <rPh sb="0" eb="4">
      <t>カオクバンゴウ</t>
    </rPh>
    <phoneticPr fontId="3"/>
  </si>
  <si>
    <t>面積(評価証明)</t>
    <rPh sb="0" eb="2">
      <t>メンセキ</t>
    </rPh>
    <phoneticPr fontId="3"/>
  </si>
  <si>
    <t>当期固定資産税額</t>
    <rPh sb="0" eb="2">
      <t>トウキ</t>
    </rPh>
    <rPh sb="2" eb="4">
      <t>コテイ</t>
    </rPh>
    <rPh sb="4" eb="7">
      <t>シサンゼイ</t>
    </rPh>
    <rPh sb="7" eb="8">
      <t>ガク</t>
    </rPh>
    <phoneticPr fontId="3"/>
  </si>
  <si>
    <t>当期都市計画税額</t>
    <rPh sb="0" eb="2">
      <t>トウキ</t>
    </rPh>
    <rPh sb="2" eb="4">
      <t>トシ</t>
    </rPh>
    <rPh sb="4" eb="6">
      <t>ケイカク</t>
    </rPh>
    <rPh sb="6" eb="8">
      <t>ゼイガク</t>
    </rPh>
    <phoneticPr fontId="3"/>
  </si>
  <si>
    <t>H30評価証明
評価額</t>
    <rPh sb="3" eb="5">
      <t>ヒョウカ</t>
    </rPh>
    <rPh sb="5" eb="7">
      <t>ショウメイ</t>
    </rPh>
    <rPh sb="8" eb="11">
      <t>ヒョウカガク</t>
    </rPh>
    <phoneticPr fontId="3"/>
  </si>
  <si>
    <t>H30固定資産税
課税標準額</t>
    <rPh sb="3" eb="5">
      <t>コテイ</t>
    </rPh>
    <rPh sb="5" eb="8">
      <t>シサンゼイ</t>
    </rPh>
    <rPh sb="9" eb="11">
      <t>カゼイ</t>
    </rPh>
    <rPh sb="11" eb="13">
      <t>ヒョウジュン</t>
    </rPh>
    <rPh sb="13" eb="14">
      <t>ガク</t>
    </rPh>
    <phoneticPr fontId="3"/>
  </si>
  <si>
    <t>H30固定資産
税額</t>
    <rPh sb="3" eb="7">
      <t>コテイシサン</t>
    </rPh>
    <rPh sb="8" eb="10">
      <t>ゼイガク</t>
    </rPh>
    <phoneticPr fontId="3"/>
  </si>
  <si>
    <t>H30都市計画
税額</t>
    <rPh sb="3" eb="5">
      <t>トシ</t>
    </rPh>
    <rPh sb="5" eb="7">
      <t>ケイカク</t>
    </rPh>
    <rPh sb="8" eb="10">
      <t>ゼイガク</t>
    </rPh>
    <phoneticPr fontId="3"/>
  </si>
  <si>
    <t>H29評価証明
評価額</t>
    <rPh sb="3" eb="5">
      <t>ヒョウカ</t>
    </rPh>
    <rPh sb="5" eb="7">
      <t>ショウメイ</t>
    </rPh>
    <rPh sb="8" eb="11">
      <t>ヒョウカガク</t>
    </rPh>
    <phoneticPr fontId="3"/>
  </si>
  <si>
    <t>H29固定資産税
課税標準額</t>
    <rPh sb="3" eb="5">
      <t>コテイ</t>
    </rPh>
    <rPh sb="5" eb="8">
      <t>シサンゼイ</t>
    </rPh>
    <rPh sb="9" eb="11">
      <t>カゼイ</t>
    </rPh>
    <rPh sb="11" eb="13">
      <t>ヒョウジュン</t>
    </rPh>
    <rPh sb="13" eb="14">
      <t>ガク</t>
    </rPh>
    <phoneticPr fontId="3"/>
  </si>
  <si>
    <t>H29固定資産
税額</t>
    <rPh sb="3" eb="7">
      <t>コテイシサン</t>
    </rPh>
    <rPh sb="8" eb="10">
      <t>ゼイガク</t>
    </rPh>
    <phoneticPr fontId="3"/>
  </si>
  <si>
    <t>H29都市計画
税額</t>
    <rPh sb="3" eb="5">
      <t>トシ</t>
    </rPh>
    <rPh sb="5" eb="7">
      <t>ケイカク</t>
    </rPh>
    <rPh sb="8" eb="10">
      <t>ゼイガク</t>
    </rPh>
    <phoneticPr fontId="3"/>
  </si>
  <si>
    <t>H28評価証明
評価額</t>
    <rPh sb="3" eb="5">
      <t>ヒョウカ</t>
    </rPh>
    <rPh sb="5" eb="7">
      <t>ショウメイ</t>
    </rPh>
    <rPh sb="8" eb="11">
      <t>ヒョウカガク</t>
    </rPh>
    <phoneticPr fontId="3"/>
  </si>
  <si>
    <t>H28固定資産税
課税標準額</t>
    <rPh sb="3" eb="5">
      <t>コテイ</t>
    </rPh>
    <rPh sb="5" eb="8">
      <t>シサンゼイ</t>
    </rPh>
    <rPh sb="9" eb="11">
      <t>カゼイ</t>
    </rPh>
    <rPh sb="11" eb="13">
      <t>ヒョウジュン</t>
    </rPh>
    <rPh sb="13" eb="14">
      <t>ガク</t>
    </rPh>
    <phoneticPr fontId="3"/>
  </si>
  <si>
    <t>H28固定資産
税額</t>
    <rPh sb="3" eb="7">
      <t>コテイシサン</t>
    </rPh>
    <rPh sb="8" eb="10">
      <t>ゼイガク</t>
    </rPh>
    <phoneticPr fontId="3"/>
  </si>
  <si>
    <t>H28都市計画
税額</t>
    <rPh sb="3" eb="5">
      <t>トシ</t>
    </rPh>
    <rPh sb="5" eb="7">
      <t>ケイカク</t>
    </rPh>
    <rPh sb="8" eb="10">
      <t>ゼイガク</t>
    </rPh>
    <phoneticPr fontId="3"/>
  </si>
  <si>
    <t>権利書
存在確認2017年末</t>
    <rPh sb="0" eb="3">
      <t>ケンリショ</t>
    </rPh>
    <rPh sb="4" eb="6">
      <t>ソンザイ</t>
    </rPh>
    <rPh sb="6" eb="8">
      <t>カクニン</t>
    </rPh>
    <rPh sb="12" eb="14">
      <t>ネンマツ</t>
    </rPh>
    <phoneticPr fontId="3"/>
  </si>
  <si>
    <t>借地</t>
    <rPh sb="0" eb="2">
      <t>シャクチ</t>
    </rPh>
    <phoneticPr fontId="3"/>
  </si>
  <si>
    <t>no</t>
    <phoneticPr fontId="3"/>
  </si>
  <si>
    <t>土地</t>
  </si>
  <si>
    <t>土地</t>
    <rPh sb="0" eb="2">
      <t>トチ</t>
    </rPh>
    <phoneticPr fontId="3"/>
  </si>
  <si>
    <t>豊島区南池袋1-2-3</t>
    <rPh sb="0" eb="3">
      <t>トシマク</t>
    </rPh>
    <rPh sb="3" eb="6">
      <t>ミナミイケブクロ</t>
    </rPh>
    <phoneticPr fontId="3"/>
  </si>
  <si>
    <t>建物</t>
  </si>
  <si>
    <t>建物</t>
    <rPh sb="0" eb="2">
      <t>タテモノ</t>
    </rPh>
    <phoneticPr fontId="3"/>
  </si>
  <si>
    <t>123-1</t>
    <phoneticPr fontId="3"/>
  </si>
  <si>
    <t>1</t>
    <phoneticPr fontId="3"/>
  </si>
  <si>
    <t>当該資産評価額</t>
    <rPh sb="0" eb="2">
      <t>トウガイ</t>
    </rPh>
    <rPh sb="2" eb="4">
      <t>シサン</t>
    </rPh>
    <rPh sb="4" eb="7">
      <t>ヒョウカガク</t>
    </rPh>
    <phoneticPr fontId="3"/>
  </si>
  <si>
    <t>区分分子</t>
    <rPh sb="0" eb="2">
      <t>クブン</t>
    </rPh>
    <rPh sb="2" eb="4">
      <t>ブンシ</t>
    </rPh>
    <phoneticPr fontId="3"/>
  </si>
  <si>
    <t>区分分母</t>
    <rPh sb="0" eb="2">
      <t>クブン</t>
    </rPh>
    <rPh sb="2" eb="4">
      <t>ブンボ</t>
    </rPh>
    <phoneticPr fontId="3"/>
  </si>
  <si>
    <t>合計 / 面積(評価証明)</t>
  </si>
  <si>
    <t>合計 / 当該資産評価額</t>
  </si>
  <si>
    <t>合計 / 現況賃料計</t>
  </si>
  <si>
    <t>合計 / 再募集想定額計</t>
  </si>
  <si>
    <t>区分</t>
    <rPh sb="0" eb="2">
      <t>クブン</t>
    </rPh>
    <phoneticPr fontId="3"/>
  </si>
  <si>
    <t>RC/1-3F</t>
  </si>
  <si>
    <t>RC/1-99F</t>
    <phoneticPr fontId="3"/>
  </si>
  <si>
    <t>社長自宅</t>
    <rPh sb="0" eb="2">
      <t>シャチョウ</t>
    </rPh>
    <rPh sb="2" eb="4">
      <t>ジタク</t>
    </rPh>
    <phoneticPr fontId="3"/>
  </si>
  <si>
    <t>個数 / クラス大分類</t>
  </si>
  <si>
    <t>株式・債券等証券（流動性）</t>
    <phoneticPr fontId="1"/>
  </si>
  <si>
    <t>同上</t>
    <phoneticPr fontId="1"/>
  </si>
  <si>
    <t>↑うち住居数</t>
    <phoneticPr fontId="3"/>
  </si>
  <si>
    <t>↑うち事務所/店舗数</t>
    <phoneticPr fontId="3"/>
  </si>
  <si>
    <t>↑うちオペレーショナル(シェア・民泊等)</t>
    <phoneticPr fontId="3"/>
  </si>
  <si>
    <t>↑うちその他用途</t>
    <rPh sb="5" eb="6">
      <t>タ</t>
    </rPh>
    <rPh sb="6" eb="8">
      <t>ヨウト</t>
    </rPh>
    <phoneticPr fontId="3"/>
  </si>
  <si>
    <t>↑うち駐車場</t>
    <phoneticPr fontId="3"/>
  </si>
  <si>
    <t>ここから右はメモ欄</t>
    <rPh sb="4" eb="5">
      <t>ミギ</t>
    </rPh>
    <rPh sb="8" eb="9">
      <t>ラン</t>
    </rPh>
    <phoneticPr fontId="3"/>
  </si>
  <si>
    <t>建ぺい率オーバー</t>
    <rPh sb="0" eb="1">
      <t>ケン</t>
    </rPh>
    <rPh sb="3" eb="4">
      <t>リツ</t>
    </rPh>
    <phoneticPr fontId="3"/>
  </si>
  <si>
    <t>容積オーバー</t>
    <rPh sb="0" eb="2">
      <t>ヨウセキ</t>
    </rPh>
    <phoneticPr fontId="3"/>
  </si>
  <si>
    <t>既存不適格</t>
    <rPh sb="0" eb="2">
      <t>キゾン</t>
    </rPh>
    <rPh sb="2" eb="5">
      <t>フテキカク</t>
    </rPh>
    <phoneticPr fontId="3"/>
  </si>
  <si>
    <t>その他違反あり</t>
    <rPh sb="2" eb="3">
      <t>タ</t>
    </rPh>
    <rPh sb="3" eb="5">
      <t>イハン</t>
    </rPh>
    <phoneticPr fontId="3"/>
  </si>
  <si>
    <t>違反メモ</t>
    <rPh sb="0" eb="2">
      <t>イハン</t>
    </rPh>
    <phoneticPr fontId="3"/>
  </si>
  <si>
    <t>EV有無</t>
    <rPh sb="2" eb="4">
      <t>ウム</t>
    </rPh>
    <phoneticPr fontId="3"/>
  </si>
  <si>
    <t>建築確認図面有無</t>
    <rPh sb="0" eb="2">
      <t>ケンチク</t>
    </rPh>
    <rPh sb="2" eb="4">
      <t>カクニン</t>
    </rPh>
    <rPh sb="4" eb="6">
      <t>ズメン</t>
    </rPh>
    <rPh sb="6" eb="8">
      <t>ウム</t>
    </rPh>
    <phoneticPr fontId="1"/>
  </si>
  <si>
    <t>竣工図有無</t>
    <rPh sb="0" eb="3">
      <t>シュンコウズ</t>
    </rPh>
    <phoneticPr fontId="1"/>
  </si>
  <si>
    <t>構造計算書有無</t>
    <rPh sb="0" eb="2">
      <t>コウゾウ</t>
    </rPh>
    <rPh sb="2" eb="5">
      <t>ケイサンショ</t>
    </rPh>
    <phoneticPr fontId="1"/>
  </si>
  <si>
    <t>境界確定有無</t>
    <rPh sb="0" eb="2">
      <t>キョウカイ</t>
    </rPh>
    <rPh sb="2" eb="4">
      <t>カクテイ</t>
    </rPh>
    <phoneticPr fontId="1"/>
  </si>
  <si>
    <t>宅配ボックス設置</t>
    <rPh sb="0" eb="2">
      <t>タクハイ</t>
    </rPh>
    <rPh sb="6" eb="8">
      <t>セッチ</t>
    </rPh>
    <phoneticPr fontId="1"/>
  </si>
  <si>
    <t>カメラ設置数</t>
    <rPh sb="3" eb="6">
      <t>セッチスウ</t>
    </rPh>
    <phoneticPr fontId="3"/>
  </si>
  <si>
    <t>無料インターネット</t>
    <rPh sb="0" eb="2">
      <t>ムリョウ</t>
    </rPh>
    <phoneticPr fontId="3"/>
  </si>
  <si>
    <t>EVメンテ契約方式</t>
    <rPh sb="5" eb="7">
      <t>ケイヤク</t>
    </rPh>
    <rPh sb="7" eb="9">
      <t>ホウシキ</t>
    </rPh>
    <phoneticPr fontId="3"/>
  </si>
  <si>
    <t>EVメンテ業者</t>
    <rPh sb="5" eb="7">
      <t>ギョウシャ</t>
    </rPh>
    <phoneticPr fontId="3"/>
  </si>
  <si>
    <t>早期返済ペナルティ</t>
    <rPh sb="0" eb="2">
      <t>ソウキ</t>
    </rPh>
    <rPh sb="2" eb="4">
      <t>ヘンサイ</t>
    </rPh>
    <phoneticPr fontId="3"/>
  </si>
  <si>
    <t>備考</t>
    <rPh sb="0" eb="2">
      <t>ビコウ</t>
    </rPh>
    <phoneticPr fontId="2"/>
  </si>
  <si>
    <t>あり</t>
    <phoneticPr fontId="3"/>
  </si>
  <si>
    <t>全体の 合計 / 当該資産評価額</t>
  </si>
  <si>
    <t>全体の 合計 / 当期固定資産税額</t>
  </si>
  <si>
    <t>合計 / 当期固定資産税額</t>
  </si>
  <si>
    <t>全体の 合計 / 当期都市計画税額</t>
  </si>
  <si>
    <t>合計 / 当期都市計画税額</t>
  </si>
  <si>
    <t>110D</t>
    <phoneticPr fontId="3"/>
  </si>
  <si>
    <t>120D</t>
    <phoneticPr fontId="3"/>
  </si>
  <si>
    <t>N/A</t>
    <phoneticPr fontId="3"/>
  </si>
  <si>
    <t>なし</t>
    <phoneticPr fontId="3"/>
  </si>
  <si>
    <t>メモ1</t>
    <phoneticPr fontId="3"/>
  </si>
  <si>
    <t>メモ2</t>
  </si>
  <si>
    <t>メモ3</t>
  </si>
  <si>
    <t>メモ4</t>
  </si>
  <si>
    <t>当初購入者ID</t>
    <phoneticPr fontId="3"/>
  </si>
  <si>
    <t>当初購入者(表示用)</t>
    <rPh sb="0" eb="2">
      <t>トウショ</t>
    </rPh>
    <rPh sb="2" eb="5">
      <t>コウニュウシャ</t>
    </rPh>
    <rPh sb="6" eb="9">
      <t>ヒョウジヨウ</t>
    </rPh>
    <phoneticPr fontId="3"/>
  </si>
  <si>
    <t>東京都豊島区南池袋1丁目8番21号 玉川マンション102</t>
    <rPh sb="0" eb="3">
      <t>トウキョウト</t>
    </rPh>
    <rPh sb="3" eb="6">
      <t>トシマク</t>
    </rPh>
    <rPh sb="6" eb="9">
      <t>ミナミイケブクロ</t>
    </rPh>
    <rPh sb="10" eb="12">
      <t>チョウメ</t>
    </rPh>
    <rPh sb="13" eb="14">
      <t>バン</t>
    </rPh>
    <rPh sb="16" eb="17">
      <t>ゴウ</t>
    </rPh>
    <rPh sb="18" eb="20">
      <t>タマガワ</t>
    </rPh>
    <phoneticPr fontId="1"/>
  </si>
  <si>
    <t>賃料売上(現況)</t>
    <rPh sb="0" eb="2">
      <t>チンリョウ</t>
    </rPh>
    <rPh sb="2" eb="3">
      <t>ウ</t>
    </rPh>
    <rPh sb="3" eb="4">
      <t>ア</t>
    </rPh>
    <rPh sb="5" eb="7">
      <t>ゲンキョウ</t>
    </rPh>
    <phoneticPr fontId="1"/>
  </si>
  <si>
    <t>大東京建託アパート池袋</t>
  </si>
  <si>
    <t>大東京建託アパート池袋</t>
    <rPh sb="0" eb="1">
      <t>ダイ</t>
    </rPh>
    <rPh sb="1" eb="3">
      <t>トウキョウ</t>
    </rPh>
    <rPh sb="3" eb="5">
      <t>ケンタク</t>
    </rPh>
    <rPh sb="9" eb="11">
      <t>イケブクロ</t>
    </rPh>
    <phoneticPr fontId="3"/>
  </si>
  <si>
    <t>大東京建託アパート目白</t>
  </si>
  <si>
    <t>大東京建託アパート目白</t>
    <rPh sb="1" eb="3">
      <t>トウキョウ</t>
    </rPh>
    <rPh sb="3" eb="5">
      <t>ケンタク</t>
    </rPh>
    <rPh sb="9" eb="11">
      <t>メジロ</t>
    </rPh>
    <phoneticPr fontId="3"/>
  </si>
  <si>
    <t>2018年3月末現在 ビルメンテナンス費用(税込月額)</t>
    <rPh sb="19" eb="21">
      <t>ヒヨウ</t>
    </rPh>
    <rPh sb="22" eb="24">
      <t>ゼイコミ</t>
    </rPh>
    <rPh sb="24" eb="26">
      <t>ゲツガク</t>
    </rPh>
    <phoneticPr fontId="3"/>
  </si>
  <si>
    <t>2018年8月末現在</t>
    <phoneticPr fontId="4"/>
  </si>
  <si>
    <t>賃料収入内訳</t>
    <phoneticPr fontId="4"/>
  </si>
  <si>
    <t xml:space="preserve">満室想定賃料(税込・月額) </t>
    <rPh sb="0" eb="2">
      <t>マンシツ</t>
    </rPh>
    <rPh sb="2" eb="4">
      <t>ソウテイ</t>
    </rPh>
    <rPh sb="4" eb="6">
      <t>チンリョウ</t>
    </rPh>
    <rPh sb="7" eb="9">
      <t>ゼイコミ</t>
    </rPh>
    <rPh sb="10" eb="12">
      <t>ゲツガク</t>
    </rPh>
    <phoneticPr fontId="3"/>
  </si>
  <si>
    <t>X1</t>
    <phoneticPr fontId="4"/>
  </si>
  <si>
    <t xml:space="preserve">現況賃料(税込・月額) </t>
    <rPh sb="0" eb="2">
      <t>ゲンキョウ</t>
    </rPh>
    <rPh sb="2" eb="4">
      <t>チンリョウ</t>
    </rPh>
    <rPh sb="5" eb="7">
      <t>ゼイコミ</t>
    </rPh>
    <rPh sb="8" eb="10">
      <t>ゲツガク</t>
    </rPh>
    <phoneticPr fontId="3"/>
  </si>
  <si>
    <t>年額換算(×12)＝</t>
    <rPh sb="0" eb="2">
      <t>ネンガク</t>
    </rPh>
    <rPh sb="2" eb="4">
      <t>カンサン</t>
    </rPh>
    <phoneticPr fontId="3"/>
  </si>
  <si>
    <t>年額換算(×12)＝</t>
    <phoneticPr fontId="3"/>
  </si>
  <si>
    <t>入居率集計</t>
    <rPh sb="0" eb="3">
      <t>ニュウキョリツ</t>
    </rPh>
    <rPh sb="3" eb="5">
      <t>シュウケイ</t>
    </rPh>
    <phoneticPr fontId="3"/>
  </si>
  <si>
    <t>相続関係図</t>
    <rPh sb="0" eb="2">
      <t>ソウゾク</t>
    </rPh>
    <rPh sb="2" eb="5">
      <t>カンケイズ</t>
    </rPh>
    <phoneticPr fontId="3"/>
  </si>
  <si>
    <t>機微な個人情報につき取扱ご注意ください。</t>
    <rPh sb="0" eb="2">
      <t>キビ</t>
    </rPh>
    <rPh sb="3" eb="5">
      <t>コジン</t>
    </rPh>
    <rPh sb="5" eb="7">
      <t>ジョウホウ</t>
    </rPh>
    <rPh sb="10" eb="12">
      <t>トリアツカイ</t>
    </rPh>
    <rPh sb="13" eb="15">
      <t>チュウイ</t>
    </rPh>
    <phoneticPr fontId="3"/>
  </si>
  <si>
    <t>母＝健在</t>
    <rPh sb="0" eb="1">
      <t>ハハ</t>
    </rPh>
    <rPh sb="2" eb="4">
      <t>ケンザイ</t>
    </rPh>
    <phoneticPr fontId="1"/>
  </si>
  <si>
    <t>弟＝健在</t>
    <rPh sb="0" eb="1">
      <t>オトウト</t>
    </rPh>
    <rPh sb="2" eb="4">
      <t>ケンザイ</t>
    </rPh>
    <phoneticPr fontId="1"/>
  </si>
  <si>
    <t>2000年1月</t>
    <rPh sb="4" eb="5">
      <t>ネン</t>
    </rPh>
    <rPh sb="6" eb="7">
      <t>ガツ</t>
    </rPh>
    <phoneticPr fontId="3"/>
  </si>
  <si>
    <t>結婚</t>
    <rPh sb="0" eb="2">
      <t>ケッコン</t>
    </rPh>
    <phoneticPr fontId="3"/>
  </si>
  <si>
    <t>第一子誕生</t>
    <rPh sb="0" eb="1">
      <t>ダイ</t>
    </rPh>
    <rPh sb="1" eb="3">
      <t>イッシ</t>
    </rPh>
    <rPh sb="3" eb="5">
      <t>タンジョウ</t>
    </rPh>
    <phoneticPr fontId="3"/>
  </si>
  <si>
    <t>第二子誕生</t>
    <rPh sb="0" eb="1">
      <t>ダイ</t>
    </rPh>
    <rPh sb="1" eb="3">
      <t>ニシ</t>
    </rPh>
    <rPh sb="3" eb="5">
      <t>タンジョウ</t>
    </rPh>
    <phoneticPr fontId="3"/>
  </si>
  <si>
    <t>2000年2月</t>
    <rPh sb="4" eb="5">
      <t>ネン</t>
    </rPh>
    <rPh sb="6" eb="7">
      <t>ガツ</t>
    </rPh>
    <phoneticPr fontId="3"/>
  </si>
  <si>
    <t>2000年3月</t>
    <rPh sb="4" eb="5">
      <t>ネン</t>
    </rPh>
    <rPh sb="6" eb="7">
      <t>ガツ</t>
    </rPh>
    <phoneticPr fontId="3"/>
  </si>
  <si>
    <t>2000年4月</t>
    <rPh sb="4" eb="5">
      <t>ネン</t>
    </rPh>
    <rPh sb="6" eb="7">
      <t>ガツ</t>
    </rPh>
    <phoneticPr fontId="3"/>
  </si>
  <si>
    <t>父＝死去</t>
    <rPh sb="0" eb="1">
      <t>チチ</t>
    </rPh>
    <rPh sb="2" eb="4">
      <t>シキョ</t>
    </rPh>
    <phoneticPr fontId="1"/>
  </si>
  <si>
    <t>相続</t>
    <rPh sb="0" eb="2">
      <t>ソウゾク</t>
    </rPh>
    <phoneticPr fontId="3"/>
  </si>
  <si>
    <t>P/L</t>
  </si>
  <si>
    <t>勘定科目</t>
  </si>
  <si>
    <t>501[売上高]</t>
  </si>
  <si>
    <t>502賃料・共益費収入</t>
  </si>
  <si>
    <t>503その他定期収入</t>
  </si>
  <si>
    <t>504不定期収入</t>
  </si>
  <si>
    <t>505原稿料等不動産以外</t>
  </si>
  <si>
    <t>515ｸﾞﾙｰﾌﾟ間取引売上</t>
  </si>
  <si>
    <t>516売上高合計</t>
  </si>
  <si>
    <t>517[売上原価]</t>
  </si>
  <si>
    <t>518期首商品棚卸高</t>
  </si>
  <si>
    <t>519当期商品仕入高</t>
  </si>
  <si>
    <t>520合計</t>
  </si>
  <si>
    <t>521期末商品棚卸高</t>
  </si>
  <si>
    <t>522売上原価</t>
  </si>
  <si>
    <t>523売上総損益金額</t>
  </si>
  <si>
    <t>536[販売管理費]</t>
  </si>
  <si>
    <t>537役員報酬</t>
  </si>
  <si>
    <t>538給料手当</t>
  </si>
  <si>
    <t>539法定福利費</t>
  </si>
  <si>
    <t>541PM管理手数料</t>
  </si>
  <si>
    <t>542BM建物管理料</t>
  </si>
  <si>
    <t>543物件公共料金</t>
  </si>
  <si>
    <t>544AD広告宣伝費</t>
  </si>
  <si>
    <t>545入退去関連支出</t>
  </si>
  <si>
    <t>547修繕費</t>
  </si>
  <si>
    <t>548外注費（不動産）</t>
  </si>
  <si>
    <t>549外注費（一般）</t>
  </si>
  <si>
    <t>550グループ内業務委託費</t>
  </si>
  <si>
    <t>552交際費</t>
  </si>
  <si>
    <t>553会議費</t>
  </si>
  <si>
    <t>554旅費交通費</t>
  </si>
  <si>
    <t>555通信費</t>
  </si>
  <si>
    <t>556消耗品費</t>
  </si>
  <si>
    <t>557事務用品費</t>
  </si>
  <si>
    <t>558水道光熱費</t>
  </si>
  <si>
    <t>559諸会費</t>
  </si>
  <si>
    <t>560支払手数料</t>
  </si>
  <si>
    <t>562保険料</t>
  </si>
  <si>
    <t>563租税公課</t>
  </si>
  <si>
    <t>565減価償却費</t>
  </si>
  <si>
    <t>566長期前払費用償却</t>
  </si>
  <si>
    <t>567長期前払費用償却（消費税</t>
  </si>
  <si>
    <t>569荷造運賃</t>
  </si>
  <si>
    <t>570新聞図書費</t>
  </si>
  <si>
    <t>572リース料</t>
  </si>
  <si>
    <t>575雑費</t>
  </si>
  <si>
    <t>576販売管理費計</t>
  </si>
  <si>
    <t>577営業損益金額</t>
  </si>
  <si>
    <t>599[営業外収益]</t>
  </si>
  <si>
    <t>600受取利息</t>
  </si>
  <si>
    <t>601受取配当金</t>
  </si>
  <si>
    <t>602雑収入</t>
  </si>
  <si>
    <t>603雑収入（税金還付）</t>
  </si>
  <si>
    <t>604雑収入（消費税）</t>
  </si>
  <si>
    <t>605営業外収益合計</t>
  </si>
  <si>
    <t>619[営業外費用]</t>
  </si>
  <si>
    <t>620支払利息</t>
  </si>
  <si>
    <t>622雑損失（消費税）</t>
  </si>
  <si>
    <t>623営業外費用合計</t>
  </si>
  <si>
    <t>624経常損益金額</t>
  </si>
  <si>
    <t>637[特別利益]</t>
  </si>
  <si>
    <t>640特別利益合計</t>
  </si>
  <si>
    <t>651[特別損失]</t>
  </si>
  <si>
    <t>653特別損失合計</t>
  </si>
  <si>
    <t>664[当期純損益]</t>
  </si>
  <si>
    <t>665税引前当期純損益金額</t>
  </si>
  <si>
    <t>666法人税等</t>
  </si>
  <si>
    <t>668当期純損益金額</t>
  </si>
  <si>
    <t>会社名</t>
  </si>
  <si>
    <t>会社名</t>
    <rPh sb="0" eb="3">
      <t>カイシャメイ</t>
    </rPh>
    <phoneticPr fontId="3"/>
  </si>
  <si>
    <t>01コアプラス・アンド・アーキテクチャーズ</t>
  </si>
  <si>
    <t>01コアプラス・アンド・アーキテクチャーズ</t>
    <phoneticPr fontId="3"/>
  </si>
  <si>
    <t>02さんためエステート</t>
  </si>
  <si>
    <t>02さんためエステート</t>
    <phoneticPr fontId="3"/>
  </si>
  <si>
    <t>04ごためランド</t>
  </si>
  <si>
    <t>04ごためランド</t>
    <phoneticPr fontId="3"/>
  </si>
  <si>
    <t>03よんためプロパティ</t>
  </si>
  <si>
    <t>03よんためプロパティ</t>
    <phoneticPr fontId="3"/>
  </si>
  <si>
    <t>05ろくためアセット</t>
  </si>
  <si>
    <t>05ろくためアセット</t>
    <phoneticPr fontId="3"/>
  </si>
  <si>
    <t>06ななためマネジメント</t>
  </si>
  <si>
    <t>06ななためマネジメント</t>
    <phoneticPr fontId="3"/>
  </si>
  <si>
    <t>2018年6月末現在P/L(試算表)</t>
    <rPh sb="4" eb="5">
      <t>ネン</t>
    </rPh>
    <rPh sb="6" eb="8">
      <t>ガツマツ</t>
    </rPh>
    <rPh sb="8" eb="10">
      <t>ゲンザイ</t>
    </rPh>
    <rPh sb="14" eb="17">
      <t>シサンヒョウ</t>
    </rPh>
    <phoneticPr fontId="1"/>
  </si>
  <si>
    <t>B/S</t>
  </si>
  <si>
    <t>101[現金･預金]</t>
  </si>
  <si>
    <t>103普通預金</t>
  </si>
  <si>
    <t>104定期預金</t>
  </si>
  <si>
    <t>105定期積金</t>
  </si>
  <si>
    <t>107現金･預金合計</t>
  </si>
  <si>
    <t>118[売上債権]</t>
  </si>
  <si>
    <t>119売掛金</t>
  </si>
  <si>
    <t>120売上債権合計</t>
  </si>
  <si>
    <t>131[有価証券]</t>
  </si>
  <si>
    <t>132有価証券合計</t>
  </si>
  <si>
    <t>139[棚卸資産]</t>
  </si>
  <si>
    <t>140棚卸資産合計</t>
  </si>
  <si>
    <t>148[他流動資産]</t>
  </si>
  <si>
    <t>151前払費用</t>
  </si>
  <si>
    <t>154役員貸付金</t>
  </si>
  <si>
    <t>155未収入金（グループ間取引</t>
  </si>
  <si>
    <t>156未収入金（税金還付）</t>
  </si>
  <si>
    <t>157未収入金（一般）</t>
  </si>
  <si>
    <t>158仮払金</t>
  </si>
  <si>
    <t>159仮払消費税等</t>
  </si>
  <si>
    <t>160他流動資産合計</t>
  </si>
  <si>
    <t>161流動資産合計</t>
  </si>
  <si>
    <t>172[有形固定資産]</t>
  </si>
  <si>
    <t>173建物</t>
  </si>
  <si>
    <t>174附属設備</t>
  </si>
  <si>
    <t>175構築物</t>
  </si>
  <si>
    <t>176工具器具備品</t>
  </si>
  <si>
    <t>179土地</t>
  </si>
  <si>
    <t>181有形固定資産計</t>
  </si>
  <si>
    <t>195[無形固定資産]</t>
  </si>
  <si>
    <t>196無形固定資産計</t>
  </si>
  <si>
    <t>208[投資その他の資産]</t>
  </si>
  <si>
    <t>210出資金</t>
  </si>
  <si>
    <t>212差入保証金</t>
  </si>
  <si>
    <t>213長期前払費用</t>
  </si>
  <si>
    <t>214長期前払費用（消費税）</t>
  </si>
  <si>
    <t>216投資その他の資産合計</t>
  </si>
  <si>
    <t>217固定資産合計</t>
  </si>
  <si>
    <t>228[繰延資産]</t>
  </si>
  <si>
    <t>231繰延資産合計</t>
  </si>
  <si>
    <t>242[諸口]</t>
  </si>
  <si>
    <t>246資産合計</t>
  </si>
  <si>
    <t>259[仕入債務]</t>
  </si>
  <si>
    <t>260仕入債務合計</t>
  </si>
  <si>
    <t>273[他流動負債]</t>
  </si>
  <si>
    <t>274役員借入金</t>
  </si>
  <si>
    <t>276前受収益</t>
  </si>
  <si>
    <t>278未払金（グループ間取引）</t>
  </si>
  <si>
    <t>279未払金（給与）</t>
  </si>
  <si>
    <t>280未払金（一般）</t>
  </si>
  <si>
    <t>282未払法人税等</t>
  </si>
  <si>
    <t>283未払消費税等</t>
  </si>
  <si>
    <t>284前受金</t>
  </si>
  <si>
    <t>285預り金</t>
  </si>
  <si>
    <t>286預り金（源泉所得税）</t>
  </si>
  <si>
    <t>287仮受金</t>
  </si>
  <si>
    <t>288預り保証金</t>
  </si>
  <si>
    <t>289仮受消費税等</t>
  </si>
  <si>
    <t>290他流動負債合計</t>
  </si>
  <si>
    <t>291流動負債合計</t>
  </si>
  <si>
    <t>302[固定負債]</t>
  </si>
  <si>
    <t>303長期借入金（有担保）</t>
  </si>
  <si>
    <t>304長期借入金（無担保）</t>
  </si>
  <si>
    <t>305長期借入金（ノンバンク）</t>
  </si>
  <si>
    <t>310固定負債合計</t>
  </si>
  <si>
    <t>311負債合計</t>
  </si>
  <si>
    <t>322[資本金]</t>
  </si>
  <si>
    <t>323資本金</t>
  </si>
  <si>
    <t>324資本金合計</t>
  </si>
  <si>
    <t>336[新株式申込証拠金]</t>
  </si>
  <si>
    <t>337新株式申込証拠金合計</t>
  </si>
  <si>
    <t>348[資本剰余金]</t>
  </si>
  <si>
    <t>349資本準備金合計</t>
  </si>
  <si>
    <t>350その他資本剰余金合計</t>
  </si>
  <si>
    <t>351資本剰余金合計</t>
  </si>
  <si>
    <t>362[利益剰余金]</t>
  </si>
  <si>
    <t>363利益準備金合計</t>
  </si>
  <si>
    <t>364任意積立金合計</t>
  </si>
  <si>
    <t>365繰越利益</t>
  </si>
  <si>
    <t>366当期純損益金額</t>
  </si>
  <si>
    <t>367繰越利益剰余金合計</t>
  </si>
  <si>
    <t>368その他利益剰余金合計</t>
  </si>
  <si>
    <t>369利益剰余金合計</t>
  </si>
  <si>
    <t>380[自己株式]</t>
  </si>
  <si>
    <t>381自己株式合計</t>
  </si>
  <si>
    <t>393[自己株式申込証拠金]</t>
  </si>
  <si>
    <t>394自己株式申込証拠金合計</t>
  </si>
  <si>
    <t>395株主資本合計</t>
  </si>
  <si>
    <t>406[評価･換算差額等]</t>
  </si>
  <si>
    <t>407評価･換算差額等合計</t>
  </si>
  <si>
    <t>417[新株予約権]</t>
  </si>
  <si>
    <t>418新株予約権合計</t>
  </si>
  <si>
    <t>419純資産合計</t>
  </si>
  <si>
    <t>420負債･純資産合計</t>
  </si>
  <si>
    <t>2018年6月末現在B/S(試算表)</t>
    <rPh sb="4" eb="5">
      <t>ネン</t>
    </rPh>
    <rPh sb="6" eb="8">
      <t>ガツマツ</t>
    </rPh>
    <rPh sb="8" eb="10">
      <t>ゲンザイ</t>
    </rPh>
    <rPh sb="14" eb="17">
      <t>シサンヒョウ</t>
    </rPh>
    <phoneticPr fontId="3"/>
  </si>
  <si>
    <t>2015年12月末B/S(確定)</t>
    <rPh sb="4" eb="5">
      <t>ネン</t>
    </rPh>
    <rPh sb="7" eb="9">
      <t>ガツマツ</t>
    </rPh>
    <rPh sb="13" eb="15">
      <t>カクテイ</t>
    </rPh>
    <phoneticPr fontId="3"/>
  </si>
  <si>
    <t>2016年12月末B/S(確定)</t>
    <rPh sb="4" eb="5">
      <t>ネン</t>
    </rPh>
    <rPh sb="7" eb="9">
      <t>ガツマツ</t>
    </rPh>
    <rPh sb="13" eb="15">
      <t>カクテイ</t>
    </rPh>
    <phoneticPr fontId="3"/>
  </si>
  <si>
    <t>2017年12月末B/S(確定)</t>
    <rPh sb="4" eb="5">
      <t>ネン</t>
    </rPh>
    <rPh sb="7" eb="9">
      <t>ガツマツ</t>
    </rPh>
    <rPh sb="13" eb="15">
      <t>カクテイ</t>
    </rPh>
    <phoneticPr fontId="3"/>
  </si>
  <si>
    <t>2015年12月末P/L(確定)</t>
    <rPh sb="4" eb="5">
      <t>ネン</t>
    </rPh>
    <rPh sb="7" eb="9">
      <t>ガツマツ</t>
    </rPh>
    <rPh sb="13" eb="15">
      <t>カクテイ</t>
    </rPh>
    <phoneticPr fontId="1"/>
  </si>
  <si>
    <t>2016年12月末P/L(確定)</t>
    <rPh sb="4" eb="5">
      <t>ネン</t>
    </rPh>
    <rPh sb="7" eb="9">
      <t>ガツマツ</t>
    </rPh>
    <rPh sb="13" eb="15">
      <t>カクテイ</t>
    </rPh>
    <phoneticPr fontId="1"/>
  </si>
  <si>
    <t>2017年12月末P/L(確定)</t>
    <rPh sb="4" eb="5">
      <t>ネン</t>
    </rPh>
    <rPh sb="7" eb="9">
      <t>ガツマツ</t>
    </rPh>
    <rPh sb="13" eb="15">
      <t>カクテイ</t>
    </rPh>
    <phoneticPr fontId="1"/>
  </si>
  <si>
    <t>2.グループ全体の年間損益(P/L) 2018年1月～12月予測</t>
    <rPh sb="6" eb="8">
      <t>ゼンタイ</t>
    </rPh>
    <rPh sb="9" eb="11">
      <t>ネンカン</t>
    </rPh>
    <rPh sb="11" eb="13">
      <t>ソンエキ</t>
    </rPh>
    <rPh sb="23" eb="24">
      <t>ネン</t>
    </rPh>
    <rPh sb="25" eb="26">
      <t>ガツ</t>
    </rPh>
    <rPh sb="29" eb="30">
      <t>ガツ</t>
    </rPh>
    <rPh sb="30" eb="32">
      <t>ヨソク</t>
    </rPh>
    <phoneticPr fontId="1"/>
  </si>
  <si>
    <t>本資料作成時点：2018年08月31日 現在</t>
    <rPh sb="0" eb="1">
      <t>ホン</t>
    </rPh>
    <rPh sb="1" eb="3">
      <t>シリョウ</t>
    </rPh>
    <rPh sb="3" eb="5">
      <t>サクセイ</t>
    </rPh>
    <rPh sb="5" eb="7">
      <t>ジテン</t>
    </rPh>
    <rPh sb="12" eb="13">
      <t>ネン</t>
    </rPh>
    <rPh sb="15" eb="16">
      <t>ガツ</t>
    </rPh>
    <rPh sb="18" eb="19">
      <t>ニチ</t>
    </rPh>
    <phoneticPr fontId="1"/>
  </si>
  <si>
    <t>借入金(不動産関連)</t>
    <rPh sb="0" eb="3">
      <t>カリイレキン</t>
    </rPh>
    <rPh sb="7" eb="9">
      <t>カンレン</t>
    </rPh>
    <phoneticPr fontId="1"/>
  </si>
  <si>
    <t>借入金(運転資金等)</t>
    <rPh sb="0" eb="3">
      <t>カリイレキン</t>
    </rPh>
    <rPh sb="4" eb="6">
      <t>ウンテン</t>
    </rPh>
    <rPh sb="6" eb="8">
      <t>シキン</t>
    </rPh>
    <rPh sb="8" eb="9">
      <t>トウ</t>
    </rPh>
    <phoneticPr fontId="1"/>
  </si>
  <si>
    <t>3.グループ全体の資産時価評価</t>
    <rPh sb="6" eb="8">
      <t>ゼンタイ</t>
    </rPh>
    <rPh sb="9" eb="11">
      <t>シサン</t>
    </rPh>
    <rPh sb="11" eb="13">
      <t>ジカ</t>
    </rPh>
    <rPh sb="13" eb="15">
      <t>ヒョウカ</t>
    </rPh>
    <phoneticPr fontId="1"/>
  </si>
  <si>
    <t>借入資金使途ID</t>
    <rPh sb="0" eb="2">
      <t>カリイレ</t>
    </rPh>
    <rPh sb="2" eb="4">
      <t>シキン</t>
    </rPh>
    <rPh sb="4" eb="6">
      <t>シト</t>
    </rPh>
    <phoneticPr fontId="3"/>
  </si>
  <si>
    <t>800番台はアセットクラスを入力（ピボット集計の都合上、既定項目のみ。変更する場合はピボットの作り直しが必要）</t>
    <rPh sb="3" eb="5">
      <t>バンダイ</t>
    </rPh>
    <rPh sb="14" eb="16">
      <t>ニュウリョク</t>
    </rPh>
    <rPh sb="21" eb="23">
      <t>シュウケイ</t>
    </rPh>
    <rPh sb="24" eb="27">
      <t>ツゴウジョウ</t>
    </rPh>
    <rPh sb="28" eb="30">
      <t>キテイ</t>
    </rPh>
    <rPh sb="30" eb="32">
      <t>コウモク</t>
    </rPh>
    <rPh sb="35" eb="37">
      <t>ヘンコウ</t>
    </rPh>
    <rPh sb="39" eb="41">
      <t>バアイ</t>
    </rPh>
    <rPh sb="47" eb="48">
      <t>ツク</t>
    </rPh>
    <rPh sb="49" eb="50">
      <t>ナオ</t>
    </rPh>
    <rPh sb="52" eb="54">
      <t>ヒツヨウ</t>
    </rPh>
    <phoneticPr fontId="3"/>
  </si>
  <si>
    <t>700番台は借入資金使途を入力（ピボット集計の都合上、既定項目のみ。変更する場合はピボットの作り直しが必要）</t>
    <rPh sb="3" eb="5">
      <t>バンダイ</t>
    </rPh>
    <rPh sb="6" eb="8">
      <t>カリイレ</t>
    </rPh>
    <rPh sb="8" eb="10">
      <t>シキン</t>
    </rPh>
    <rPh sb="10" eb="12">
      <t>シト</t>
    </rPh>
    <rPh sb="13" eb="15">
      <t>ニュウリョク</t>
    </rPh>
    <rPh sb="20" eb="22">
      <t>シュウケイ</t>
    </rPh>
    <rPh sb="23" eb="26">
      <t>ツゴウジョウ</t>
    </rPh>
    <rPh sb="27" eb="29">
      <t>キテイ</t>
    </rPh>
    <rPh sb="29" eb="31">
      <t>コウモク</t>
    </rPh>
    <rPh sb="34" eb="36">
      <t>ヘンコウ</t>
    </rPh>
    <rPh sb="38" eb="40">
      <t>バアイ</t>
    </rPh>
    <rPh sb="46" eb="47">
      <t>ツク</t>
    </rPh>
    <rPh sb="48" eb="49">
      <t>ナオ</t>
    </rPh>
    <rPh sb="51" eb="53">
      <t>ヒツヨウ</t>
    </rPh>
    <phoneticPr fontId="3"/>
  </si>
  <si>
    <t>2018年現在</t>
    <rPh sb="4" eb="5">
      <t>ネン</t>
    </rPh>
    <rPh sb="5" eb="7">
      <t>ゲンザイ</t>
    </rPh>
    <phoneticPr fontId="3"/>
  </si>
  <si>
    <t>yes</t>
    <phoneticPr fontId="3"/>
  </si>
  <si>
    <t>評価額H30</t>
  </si>
  <si>
    <t>現所有者ID</t>
    <phoneticPr fontId="3"/>
  </si>
  <si>
    <t>前回決算は何期目か</t>
    <rPh sb="0" eb="2">
      <t>ゼンカイ</t>
    </rPh>
    <rPh sb="5" eb="8">
      <t>ナンキメ</t>
    </rPh>
    <phoneticPr fontId="1"/>
  </si>
  <si>
    <t>普通預金(日本円現金)</t>
    <rPh sb="5" eb="8">
      <t>ニホンエン</t>
    </rPh>
    <rPh sb="8" eb="10">
      <t>ゲンキン</t>
    </rPh>
    <phoneticPr fontId="1"/>
  </si>
  <si>
    <t>定期預金・積み立て(日本円現金)</t>
    <rPh sb="10" eb="13">
      <t>ニホンエン</t>
    </rPh>
    <rPh sb="13" eb="15">
      <t>ゲンキン</t>
    </rPh>
    <phoneticPr fontId="1"/>
  </si>
  <si>
    <t>誰が見てもすばらしい玉川式Excel物件管理シート Rev.2018.08.30</t>
    <phoneticPr fontId="1"/>
  </si>
  <si>
    <t>担保</t>
    <rPh sb="0" eb="2">
      <t>タンポ</t>
    </rPh>
    <phoneticPr fontId="2"/>
  </si>
  <si>
    <t>利息月額</t>
    <rPh sb="0" eb="2">
      <t>リソク</t>
    </rPh>
    <rPh sb="2" eb="4">
      <t>ゲツガク</t>
    </rPh>
    <phoneticPr fontId="2"/>
  </si>
  <si>
    <t>支払月額</t>
    <rPh sb="0" eb="2">
      <t>シハライ</t>
    </rPh>
    <rPh sb="2" eb="4">
      <t>ゲツガク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</si>
</sst>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quot;¥&quot;\-#,##0"/>
    <numFmt numFmtId="6" formatCode="&quot;¥&quot;#,##0;[Red]&quot;¥&quot;\-#,##0"/>
    <numFmt numFmtId="7" formatCode="&quot;¥&quot;#,##0.00;&quot;¥&quot;\-#,##0.00"/>
    <numFmt numFmtId="176" formatCode="[$-F800]dddd\,\ mmmm\ dd\,\ yyyy"/>
    <numFmt numFmtId="177" formatCode="#,##0_ "/>
    <numFmt numFmtId="178" formatCode="#,##0_);[Red]\(#,##0\)"/>
    <numFmt numFmtId="179" formatCode="0.0%"/>
    <numFmt numFmtId="180" formatCode="General&quot;期&quot;"/>
    <numFmt numFmtId="181" formatCode="#,###&quot;万円&quot;"/>
    <numFmt numFmtId="182" formatCode="&quot;¥&quot;#,##0_);[Red]\(&quot;¥&quot;#,##0\)"/>
    <numFmt numFmtId="183" formatCode="[$JPY]\ #,##0;[$JPY]\ \-#,##0"/>
    <numFmt numFmtId="184" formatCode="yyyy&quot;年&quot;m&quot;月&quot;d&quot;日&quot;&quot;現在&quot;"/>
    <numFmt numFmtId="185" formatCode="General\ &quot;㎡&quot;"/>
    <numFmt numFmtId="186" formatCode="0_ &quot;坪&quot;"/>
    <numFmt numFmtId="187" formatCode="[$-411]ggge&quot;年&quot;m&quot;月&quot;d&quot;日&quot;;@"/>
    <numFmt numFmtId="188" formatCode="#&quot;年&quot;"/>
    <numFmt numFmtId="189" formatCode="General&quot;年&quot;"/>
    <numFmt numFmtId="190" formatCode="0_);[Red]\(0\)"/>
    <numFmt numFmtId="191" formatCode="#,##0_ &quot;万円&quot;"/>
    <numFmt numFmtId="192" formatCode="0.000%"/>
    <numFmt numFmtId="193" formatCode="0.0&quot;年&quot;"/>
    <numFmt numFmtId="194" formatCode="yyyy&quot;年&quot;m&quot;月&quot;d&quot;日&quot;;@"/>
    <numFmt numFmtId="195" formatCode="#,##0&quot;万円&quot;"/>
    <numFmt numFmtId="196" formatCode="#,###&quot;万円&quot;;[Red]\-#,###&quot;万円&quot;"/>
    <numFmt numFmtId="197" formatCode="0.000&quot;%&quot;"/>
    <numFmt numFmtId="198" formatCode="#,###&quot;年&quot;"/>
    <numFmt numFmtId="199" formatCode="[$USD]\ #,##0;[$USD]\ \-#,##0"/>
    <numFmt numFmtId="200" formatCode="[$SGD]\ #,##0.00;[$SGD]\ \-#,##0.00"/>
    <numFmt numFmtId="201" formatCode="[$SGD]\ #,##0;[$SGD]\ \-#,##0"/>
    <numFmt numFmtId="202" formatCode="0.00_ &quot;㎡&quot;"/>
    <numFmt numFmtId="203" formatCode="General\ &quot;万円&quot;"/>
  </numFmts>
  <fonts count="29" x14ac:knownFonts="1">
    <font>
      <sz val="11"/>
      <color theme="1"/>
      <name val="游ゴシック"/>
      <family val="2"/>
      <charset val="128"/>
      <scheme val="minor"/>
    </font>
    <font>
      <sz val="11"/>
      <color theme="1"/>
      <name val="游ゴシック"/>
      <family val="2"/>
      <charset val="128"/>
      <scheme val="minor"/>
    </font>
    <font>
      <sz val="18"/>
      <color theme="1"/>
      <name val="游ゴシック"/>
      <family val="2"/>
      <charset val="128"/>
      <scheme val="minor"/>
    </font>
    <font>
      <sz val="6"/>
      <name val="游ゴシック"/>
      <family val="2"/>
      <charset val="128"/>
      <scheme val="minor"/>
    </font>
    <font>
      <b/>
      <sz val="11"/>
      <color theme="0"/>
      <name val="游ゴシック"/>
      <family val="3"/>
      <charset val="128"/>
      <scheme val="minor"/>
    </font>
    <font>
      <sz val="20"/>
      <color theme="1"/>
      <name val="Meiryo UI"/>
      <family val="3"/>
      <charset val="128"/>
    </font>
    <font>
      <sz val="18"/>
      <color theme="1"/>
      <name val="Meiryo UI"/>
      <family val="3"/>
      <charset val="128"/>
    </font>
    <font>
      <b/>
      <sz val="11"/>
      <color theme="1"/>
      <name val="游ゴシック"/>
      <family val="2"/>
      <charset val="128"/>
      <scheme val="minor"/>
    </font>
    <font>
      <sz val="20"/>
      <color theme="1"/>
      <name val="游ゴシック"/>
      <family val="2"/>
      <charset val="128"/>
      <scheme val="minor"/>
    </font>
    <font>
      <b/>
      <sz val="8"/>
      <color theme="1"/>
      <name val="游ゴシック"/>
      <family val="2"/>
      <charset val="128"/>
      <scheme val="minor"/>
    </font>
    <font>
      <sz val="11"/>
      <name val="Meiryo UI"/>
      <family val="3"/>
      <charset val="128"/>
    </font>
    <font>
      <sz val="11"/>
      <color theme="1"/>
      <name val="Meiryo UI"/>
      <family val="3"/>
      <charset val="128"/>
    </font>
    <font>
      <b/>
      <sz val="11"/>
      <color theme="0"/>
      <name val="Meiryo UI"/>
      <family val="3"/>
      <charset val="128"/>
    </font>
    <font>
      <sz val="11"/>
      <color theme="0"/>
      <name val="Meiryo UI"/>
      <family val="3"/>
      <charset val="128"/>
    </font>
    <font>
      <u/>
      <sz val="11"/>
      <color theme="1"/>
      <name val="Meiryo UI"/>
      <family val="3"/>
      <charset val="128"/>
    </font>
    <font>
      <sz val="11"/>
      <color rgb="FFFF0000"/>
      <name val="Meiryo UI"/>
      <family val="3"/>
      <charset val="128"/>
    </font>
    <font>
      <sz val="16"/>
      <color theme="1"/>
      <name val="Meiryo UI"/>
      <family val="3"/>
      <charset val="128"/>
    </font>
    <font>
      <b/>
      <sz val="11"/>
      <color theme="9"/>
      <name val="Meiryo UI"/>
      <family val="3"/>
      <charset val="128"/>
    </font>
    <font>
      <b/>
      <sz val="11"/>
      <color rgb="FFFF0000"/>
      <name val="Meiryo UI"/>
      <family val="3"/>
      <charset val="128"/>
    </font>
    <font>
      <b/>
      <sz val="11"/>
      <color rgb="FF92D050"/>
      <name val="Meiryo UI"/>
      <family val="3"/>
      <charset val="128"/>
    </font>
    <font>
      <b/>
      <sz val="11"/>
      <color rgb="FF00B050"/>
      <name val="Meiryo UI"/>
      <family val="3"/>
      <charset val="128"/>
    </font>
    <font>
      <b/>
      <sz val="11"/>
      <name val="Meiryo UI"/>
      <family val="3"/>
      <charset val="128"/>
    </font>
    <font>
      <sz val="12"/>
      <color theme="0"/>
      <name val="Meiryo UI"/>
      <family val="3"/>
      <charset val="128"/>
    </font>
    <font>
      <sz val="12"/>
      <color theme="1"/>
      <name val="Meiryo UI"/>
      <family val="3"/>
      <charset val="128"/>
    </font>
    <font>
      <b/>
      <sz val="16"/>
      <color theme="0"/>
      <name val="Meiryo UI"/>
      <family val="3"/>
      <charset val="128"/>
    </font>
    <font>
      <sz val="24"/>
      <color theme="1"/>
      <name val="Meiryo UI"/>
      <family val="3"/>
      <charset val="128"/>
    </font>
    <font>
      <sz val="16"/>
      <color rgb="FFFF0000"/>
      <name val="Meiryo UI"/>
      <family val="3"/>
      <charset val="128"/>
    </font>
    <font>
      <sz val="11"/>
      <color theme="1"/>
      <name val="Meiryo UI"/>
      <family val="3"/>
    </font>
    <font>
      <sz val="11"/>
      <color theme="0"/>
      <name val="Meiryo UI"/>
      <family val="3"/>
    </font>
  </fonts>
  <fills count="3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rgb="FF31869B"/>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215967"/>
        <bgColor indexed="64"/>
      </patternFill>
    </fill>
    <fill>
      <patternFill patternType="solid">
        <fgColor theme="9" tint="0.59999389629810485"/>
        <bgColor indexed="64"/>
      </patternFill>
    </fill>
    <fill>
      <patternFill patternType="solid">
        <fgColor rgb="FF92CDDC"/>
        <bgColor indexed="64"/>
      </patternFill>
    </fill>
    <fill>
      <patternFill patternType="solid">
        <fgColor rgb="FFB7DEE8"/>
        <bgColor indexed="64"/>
      </patternFill>
    </fill>
    <fill>
      <patternFill patternType="solid">
        <fgColor rgb="FFD8E4BC"/>
        <bgColor indexed="64"/>
      </patternFill>
    </fill>
    <fill>
      <patternFill patternType="solid">
        <fgColor rgb="FFEBF1DE"/>
        <bgColor indexed="64"/>
      </patternFill>
    </fill>
    <fill>
      <patternFill patternType="solid">
        <fgColor rgb="FFE6B8B7"/>
        <bgColor indexed="64"/>
      </patternFill>
    </fill>
    <fill>
      <patternFill patternType="solid">
        <fgColor rgb="FFF2DCDB"/>
        <bgColor indexed="64"/>
      </patternFill>
    </fill>
    <fill>
      <patternFill patternType="solid">
        <fgColor theme="4"/>
        <bgColor theme="4"/>
      </patternFill>
    </fill>
    <fill>
      <patternFill patternType="solid">
        <fgColor rgb="FF31869B"/>
        <bgColor theme="4"/>
      </patternFill>
    </fill>
    <fill>
      <patternFill patternType="solid">
        <fgColor theme="2" tint="-0.249977111117893"/>
        <bgColor indexed="64"/>
      </patternFill>
    </fill>
    <fill>
      <patternFill patternType="solid">
        <fgColor theme="9" tint="0.39997558519241921"/>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rgb="FF4BACC6"/>
        <bgColor indexed="64"/>
      </patternFill>
    </fill>
    <fill>
      <patternFill patternType="solid">
        <fgColor rgb="FFB7DEE8"/>
        <bgColor theme="4" tint="0.79998168889431442"/>
      </patternFill>
    </fill>
    <fill>
      <patternFill patternType="solid">
        <fgColor rgb="FFDAEEF3"/>
        <bgColor indexed="64"/>
      </patternFill>
    </fill>
    <fill>
      <patternFill patternType="solid">
        <fgColor rgb="FFC0504D"/>
        <bgColor indexed="64"/>
      </patternFill>
    </fill>
    <fill>
      <patternFill patternType="solid">
        <fgColor rgb="FFE6B8B7"/>
        <bgColor theme="4" tint="0.79998168889431442"/>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style="double">
        <color indexed="64"/>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thin">
        <color theme="4" tint="0.39997558519241921"/>
      </left>
      <right/>
      <top style="thin">
        <color theme="4" tint="0.39997558519241921"/>
      </top>
      <bottom style="thin">
        <color theme="4" tint="0.39994506668294322"/>
      </bottom>
      <diagonal/>
    </border>
    <border>
      <left/>
      <right/>
      <top style="thin">
        <color theme="4" tint="0.39997558519241921"/>
      </top>
      <bottom style="thin">
        <color theme="4" tint="0.39994506668294322"/>
      </bottom>
      <diagonal/>
    </border>
    <border>
      <left style="thin">
        <color theme="6" tint="0.39997558519241921"/>
      </left>
      <right/>
      <top/>
      <bottom/>
      <diagonal/>
    </border>
    <border>
      <left/>
      <right style="thin">
        <color theme="6" tint="0.39997558519241921"/>
      </right>
      <top/>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s>
  <cellStyleXfs count="1">
    <xf numFmtId="0" fontId="0" fillId="0" borderId="0">
      <alignment vertical="center"/>
    </xf>
  </cellStyleXfs>
  <cellXfs count="449">
    <xf numFmtId="0" fontId="0" fillId="0" borderId="0" xfId="0">
      <alignment vertical="center"/>
    </xf>
    <xf numFmtId="0" fontId="4" fillId="12" borderId="0" xfId="0" applyFont="1" applyFill="1" applyAlignment="1">
      <alignment horizontal="left" vertical="center"/>
    </xf>
    <xf numFmtId="0" fontId="0" fillId="15" borderId="3" xfId="0" applyFont="1" applyFill="1" applyBorder="1" applyAlignment="1" applyProtection="1">
      <alignment vertical="center" wrapText="1" shrinkToFit="1"/>
      <protection locked="0"/>
    </xf>
    <xf numFmtId="0" fontId="0" fillId="15" borderId="3" xfId="0" applyFont="1" applyFill="1" applyBorder="1" applyAlignment="1" applyProtection="1">
      <alignment vertical="center" wrapText="1" shrinkToFit="1"/>
    </xf>
    <xf numFmtId="0" fontId="1" fillId="15" borderId="3" xfId="0" applyFont="1" applyFill="1" applyBorder="1" applyAlignment="1" applyProtection="1">
      <alignment vertical="center" shrinkToFit="1"/>
      <protection locked="0"/>
    </xf>
    <xf numFmtId="0" fontId="0" fillId="15" borderId="3" xfId="0" applyFont="1" applyFill="1" applyBorder="1" applyAlignment="1" applyProtection="1">
      <alignment vertical="center" shrinkToFit="1"/>
      <protection locked="0"/>
    </xf>
    <xf numFmtId="5" fontId="0" fillId="0" borderId="0" xfId="0" applyNumberFormat="1" applyAlignment="1">
      <alignment horizontal="right" vertical="center"/>
    </xf>
    <xf numFmtId="5" fontId="0" fillId="0" borderId="0" xfId="0" applyNumberFormat="1">
      <alignment vertical="center"/>
    </xf>
    <xf numFmtId="0" fontId="0" fillId="0" borderId="0" xfId="0" applyAlignment="1">
      <alignment horizontal="left" vertical="center"/>
    </xf>
    <xf numFmtId="0" fontId="0" fillId="0" borderId="0" xfId="0" applyAlignment="1">
      <alignment vertical="center" shrinkToFit="1"/>
    </xf>
    <xf numFmtId="0" fontId="4" fillId="6" borderId="0" xfId="0" applyFont="1" applyFill="1">
      <alignment vertical="center"/>
    </xf>
    <xf numFmtId="0" fontId="0" fillId="0" borderId="0" xfId="0" applyAlignment="1">
      <alignment horizontal="right" vertical="center"/>
    </xf>
    <xf numFmtId="0" fontId="0" fillId="0" borderId="0" xfId="0" pivotButton="1">
      <alignment vertical="center"/>
    </xf>
    <xf numFmtId="0" fontId="0" fillId="0" borderId="0" xfId="0" applyAlignment="1">
      <alignment horizontal="left" vertical="center" indent="1"/>
    </xf>
    <xf numFmtId="0" fontId="0" fillId="0" borderId="0" xfId="0" applyNumberFormat="1">
      <alignment vertical="center"/>
    </xf>
    <xf numFmtId="0" fontId="5" fillId="0" borderId="0" xfId="0" applyFont="1" applyProtection="1">
      <alignment vertical="center"/>
      <protection locked="0"/>
    </xf>
    <xf numFmtId="0" fontId="6" fillId="0" borderId="0" xfId="0" applyFont="1" applyProtection="1">
      <alignment vertical="center"/>
      <protection locked="0"/>
    </xf>
    <xf numFmtId="185" fontId="0" fillId="0" borderId="0" xfId="0" applyNumberFormat="1">
      <alignment vertical="center"/>
    </xf>
    <xf numFmtId="5" fontId="0" fillId="0" borderId="0" xfId="0" pivotButton="1" applyNumberFormat="1">
      <alignment vertical="center"/>
    </xf>
    <xf numFmtId="5" fontId="0" fillId="0" borderId="0" xfId="0" applyNumberFormat="1" applyAlignment="1">
      <alignment horizontal="left" vertical="center" indent="1"/>
    </xf>
    <xf numFmtId="0" fontId="0" fillId="0" borderId="0" xfId="0" pivotButton="1" applyNumberFormat="1">
      <alignment vertical="center"/>
    </xf>
    <xf numFmtId="0" fontId="0" fillId="0" borderId="0" xfId="0" applyNumberFormat="1" applyAlignment="1">
      <alignment horizontal="left" vertical="center"/>
    </xf>
    <xf numFmtId="0" fontId="0" fillId="0" borderId="0" xfId="0" applyNumberFormat="1" applyAlignment="1">
      <alignment horizontal="left" vertical="center" indent="1"/>
    </xf>
    <xf numFmtId="0" fontId="4" fillId="12" borderId="0" xfId="0" applyFont="1" applyFill="1" applyAlignment="1">
      <alignment horizontal="right" vertical="center"/>
    </xf>
    <xf numFmtId="0" fontId="0" fillId="7" borderId="0" xfId="0" applyFill="1" applyAlignment="1">
      <alignment horizontal="right" vertical="center"/>
    </xf>
    <xf numFmtId="0" fontId="0" fillId="0" borderId="0" xfId="0" applyFill="1" applyAlignment="1">
      <alignment horizontal="right" vertical="center"/>
    </xf>
    <xf numFmtId="0" fontId="4" fillId="12" borderId="0" xfId="0" applyFont="1" applyFill="1" applyAlignment="1">
      <alignment vertical="center"/>
    </xf>
    <xf numFmtId="0" fontId="0" fillId="15" borderId="3" xfId="0" applyFont="1" applyFill="1" applyBorder="1" applyAlignment="1" applyProtection="1">
      <alignment vertical="top" wrapText="1" shrinkToFit="1"/>
      <protection locked="0"/>
    </xf>
    <xf numFmtId="0" fontId="0" fillId="2" borderId="0" xfId="0" applyFill="1" applyAlignment="1">
      <alignment vertical="center"/>
    </xf>
    <xf numFmtId="0" fontId="0" fillId="0" borderId="0" xfId="0" applyAlignment="1">
      <alignment vertical="center"/>
    </xf>
    <xf numFmtId="0" fontId="0" fillId="7" borderId="0" xfId="0" applyFill="1" applyAlignment="1">
      <alignment vertical="center"/>
    </xf>
    <xf numFmtId="194" fontId="0" fillId="0" borderId="0" xfId="0" applyNumberFormat="1" applyAlignment="1">
      <alignment vertical="center"/>
    </xf>
    <xf numFmtId="5" fontId="0" fillId="0" borderId="0" xfId="0" applyNumberFormat="1" applyAlignment="1">
      <alignment vertical="center"/>
    </xf>
    <xf numFmtId="0" fontId="0" fillId="0" borderId="0" xfId="0" applyFill="1" applyAlignment="1">
      <alignment vertical="center"/>
    </xf>
    <xf numFmtId="0" fontId="0" fillId="9" borderId="0" xfId="0" applyFill="1" applyAlignment="1">
      <alignment vertical="center"/>
    </xf>
    <xf numFmtId="0" fontId="1" fillId="2" borderId="3" xfId="0" applyFont="1" applyFill="1" applyBorder="1" applyAlignment="1">
      <alignment vertical="center"/>
    </xf>
    <xf numFmtId="0" fontId="0" fillId="2" borderId="3" xfId="0" applyFont="1" applyFill="1" applyBorder="1" applyAlignment="1">
      <alignment vertical="center" shrinkToFit="1"/>
    </xf>
    <xf numFmtId="0" fontId="0" fillId="2" borderId="3" xfId="0" applyFont="1" applyFill="1" applyBorder="1" applyAlignment="1">
      <alignment vertical="center"/>
    </xf>
    <xf numFmtId="0" fontId="1" fillId="2" borderId="5" xfId="0" applyFont="1" applyFill="1" applyBorder="1" applyAlignment="1">
      <alignment vertical="center"/>
    </xf>
    <xf numFmtId="0" fontId="0" fillId="8" borderId="0" xfId="0" applyFill="1" applyAlignment="1">
      <alignment vertical="center"/>
    </xf>
    <xf numFmtId="0" fontId="0" fillId="10" borderId="0" xfId="0" applyFill="1" applyAlignment="1">
      <alignment vertical="center"/>
    </xf>
    <xf numFmtId="0" fontId="0" fillId="11" borderId="0" xfId="0" applyFill="1" applyAlignment="1">
      <alignment vertical="center"/>
    </xf>
    <xf numFmtId="0" fontId="0" fillId="11" borderId="0" xfId="0" applyFill="1" applyAlignment="1">
      <alignment horizontal="right" vertical="center"/>
    </xf>
    <xf numFmtId="0" fontId="0" fillId="17" borderId="0" xfId="0" applyFill="1" applyAlignment="1">
      <alignment horizontal="right" vertical="center"/>
    </xf>
    <xf numFmtId="0" fontId="1" fillId="2" borderId="3" xfId="0" applyFont="1" applyFill="1" applyBorder="1" applyAlignment="1">
      <alignment horizontal="right" vertical="center"/>
    </xf>
    <xf numFmtId="0" fontId="0" fillId="15" borderId="3" xfId="0" applyFill="1" applyBorder="1" applyAlignment="1">
      <alignment vertical="center"/>
    </xf>
    <xf numFmtId="203" fontId="0" fillId="0" borderId="0" xfId="0" applyNumberFormat="1" applyAlignment="1">
      <alignment vertical="center"/>
    </xf>
    <xf numFmtId="179" fontId="0" fillId="0" borderId="0" xfId="0" applyNumberFormat="1" applyAlignment="1">
      <alignment vertical="center"/>
    </xf>
    <xf numFmtId="0" fontId="0" fillId="15" borderId="0" xfId="0" applyFill="1" applyBorder="1" applyAlignment="1">
      <alignment vertical="center"/>
    </xf>
    <xf numFmtId="0" fontId="0" fillId="0" borderId="0" xfId="0" applyNumberFormat="1" applyAlignment="1">
      <alignment vertical="center"/>
    </xf>
    <xf numFmtId="187" fontId="0" fillId="0" borderId="0" xfId="0" applyNumberFormat="1" applyAlignment="1">
      <alignment vertical="center"/>
    </xf>
    <xf numFmtId="176" fontId="0" fillId="0" borderId="0" xfId="0" applyNumberFormat="1" applyAlignment="1">
      <alignment vertical="center"/>
    </xf>
    <xf numFmtId="0" fontId="6" fillId="19" borderId="0" xfId="0" applyFont="1" applyFill="1">
      <alignment vertical="center"/>
    </xf>
    <xf numFmtId="0" fontId="6" fillId="31" borderId="0" xfId="0" applyFont="1" applyFill="1">
      <alignment vertical="center"/>
    </xf>
    <xf numFmtId="0" fontId="6" fillId="28" borderId="0" xfId="0" applyFont="1" applyFill="1">
      <alignment vertical="center"/>
    </xf>
    <xf numFmtId="0" fontId="0" fillId="3" borderId="0" xfId="0" applyFill="1" applyAlignment="1">
      <alignment horizontal="left" vertical="center"/>
    </xf>
    <xf numFmtId="0" fontId="7" fillId="33" borderId="0" xfId="0" applyFont="1" applyFill="1">
      <alignment vertical="center"/>
    </xf>
    <xf numFmtId="0" fontId="7" fillId="33" borderId="19" xfId="0" applyFont="1" applyFill="1" applyBorder="1">
      <alignment vertical="center"/>
    </xf>
    <xf numFmtId="5" fontId="0" fillId="34" borderId="0" xfId="0" applyNumberFormat="1" applyFill="1" applyAlignment="1">
      <alignment horizontal="right" vertical="center"/>
    </xf>
    <xf numFmtId="5" fontId="0" fillId="34" borderId="0" xfId="0" applyNumberFormat="1" applyFill="1">
      <alignment vertical="center"/>
    </xf>
    <xf numFmtId="0" fontId="7" fillId="33" borderId="19" xfId="0" applyFont="1" applyFill="1" applyBorder="1" applyAlignment="1">
      <alignment vertical="center" wrapText="1"/>
    </xf>
    <xf numFmtId="0" fontId="9" fillId="33" borderId="19" xfId="0" applyFont="1" applyFill="1" applyBorder="1" applyAlignment="1">
      <alignment vertical="center" wrapText="1"/>
    </xf>
    <xf numFmtId="0" fontId="7" fillId="36" borderId="0" xfId="0" applyFont="1" applyFill="1">
      <alignment vertical="center"/>
    </xf>
    <xf numFmtId="0" fontId="7" fillId="36" borderId="19" xfId="0" applyFont="1" applyFill="1" applyBorder="1">
      <alignment vertical="center"/>
    </xf>
    <xf numFmtId="0" fontId="9" fillId="36" borderId="0" xfId="0" applyFont="1" applyFill="1" applyAlignment="1">
      <alignment vertical="center" wrapText="1"/>
    </xf>
    <xf numFmtId="0" fontId="7" fillId="36" borderId="0" xfId="0" applyFont="1" applyFill="1" applyAlignment="1">
      <alignment vertical="center" wrapText="1"/>
    </xf>
    <xf numFmtId="5" fontId="0" fillId="25" borderId="0" xfId="0" applyNumberFormat="1" applyFill="1">
      <alignment vertical="center"/>
    </xf>
    <xf numFmtId="0" fontId="0" fillId="0" borderId="0" xfId="0" applyFill="1" applyAlignment="1">
      <alignment horizontal="left" vertical="center"/>
    </xf>
    <xf numFmtId="184" fontId="10" fillId="0" borderId="0" xfId="0" applyNumberFormat="1" applyFont="1" applyFill="1" applyAlignment="1" applyProtection="1">
      <alignment vertical="center" wrapText="1" shrinkToFit="1"/>
      <protection locked="0"/>
    </xf>
    <xf numFmtId="0" fontId="11" fillId="15" borderId="3" xfId="0" applyFont="1" applyFill="1" applyBorder="1" applyAlignment="1" applyProtection="1">
      <alignment horizontal="right" vertical="center" wrapText="1"/>
      <protection locked="0"/>
    </xf>
    <xf numFmtId="0" fontId="12" fillId="13" borderId="3" xfId="0" applyFont="1" applyFill="1" applyBorder="1" applyAlignment="1" applyProtection="1">
      <alignment horizontal="right" vertical="center" wrapText="1"/>
      <protection locked="0"/>
    </xf>
    <xf numFmtId="0" fontId="12" fillId="5" borderId="3" xfId="0" applyFont="1" applyFill="1" applyBorder="1" applyAlignment="1" applyProtection="1">
      <alignment horizontal="right" vertical="center" wrapText="1"/>
      <protection locked="0"/>
    </xf>
    <xf numFmtId="0" fontId="11" fillId="0" borderId="0" xfId="0" applyFont="1">
      <alignment vertical="center"/>
    </xf>
    <xf numFmtId="0" fontId="11" fillId="15" borderId="3" xfId="0" applyFont="1" applyFill="1" applyBorder="1" applyAlignment="1" applyProtection="1">
      <alignment vertical="center" wrapText="1" shrinkToFit="1"/>
      <protection locked="0"/>
    </xf>
    <xf numFmtId="0" fontId="11" fillId="16" borderId="8" xfId="0" applyFont="1" applyFill="1" applyBorder="1" applyAlignment="1" applyProtection="1">
      <alignment horizontal="right" vertical="center" wrapText="1"/>
      <protection locked="0"/>
    </xf>
    <xf numFmtId="0" fontId="11" fillId="0" borderId="8" xfId="0" applyFont="1" applyFill="1" applyBorder="1" applyAlignment="1" applyProtection="1">
      <alignment horizontal="right" vertical="center" wrapText="1"/>
      <protection locked="0"/>
    </xf>
    <xf numFmtId="0" fontId="13" fillId="13" borderId="3" xfId="0" applyFont="1" applyFill="1" applyBorder="1" applyAlignment="1" applyProtection="1">
      <alignment vertical="center" wrapText="1" shrinkToFit="1"/>
      <protection locked="0"/>
    </xf>
    <xf numFmtId="0" fontId="13" fillId="13" borderId="8" xfId="0" applyFont="1" applyFill="1" applyBorder="1" applyAlignment="1" applyProtection="1">
      <alignment horizontal="right" vertical="center" wrapText="1"/>
      <protection locked="0"/>
    </xf>
    <xf numFmtId="0" fontId="11" fillId="15" borderId="3" xfId="0" applyFont="1" applyFill="1" applyBorder="1" applyAlignment="1" applyProtection="1">
      <alignment vertical="center" wrapText="1"/>
      <protection locked="0"/>
    </xf>
    <xf numFmtId="0" fontId="11" fillId="0" borderId="0" xfId="0" applyFont="1" applyAlignment="1">
      <alignment vertical="center" wrapText="1"/>
    </xf>
    <xf numFmtId="185" fontId="11" fillId="0" borderId="8" xfId="0" applyNumberFormat="1" applyFont="1" applyFill="1" applyBorder="1" applyAlignment="1" applyProtection="1">
      <alignment horizontal="right" vertical="center" wrapText="1"/>
      <protection locked="0"/>
    </xf>
    <xf numFmtId="0" fontId="11" fillId="15" borderId="3" xfId="0" applyFont="1" applyFill="1" applyBorder="1" applyAlignment="1" applyProtection="1">
      <alignment vertical="center" wrapText="1" shrinkToFit="1"/>
    </xf>
    <xf numFmtId="186" fontId="11" fillId="16" borderId="8" xfId="0" applyNumberFormat="1" applyFont="1" applyFill="1" applyBorder="1" applyAlignment="1" applyProtection="1">
      <alignment horizontal="right" vertical="center" wrapText="1"/>
    </xf>
    <xf numFmtId="186" fontId="11" fillId="0" borderId="8" xfId="0" applyNumberFormat="1" applyFont="1" applyFill="1" applyBorder="1" applyAlignment="1" applyProtection="1">
      <alignment horizontal="right" vertical="center" wrapText="1"/>
    </xf>
    <xf numFmtId="187" fontId="11" fillId="0" borderId="8" xfId="0" applyNumberFormat="1" applyFont="1" applyFill="1" applyBorder="1" applyAlignment="1" applyProtection="1">
      <alignment horizontal="right" vertical="center" wrapText="1"/>
      <protection locked="0"/>
    </xf>
    <xf numFmtId="188" fontId="11" fillId="16" borderId="8" xfId="0" applyNumberFormat="1" applyFont="1" applyFill="1" applyBorder="1" applyAlignment="1" applyProtection="1">
      <alignment horizontal="right" vertical="center" wrapText="1"/>
    </xf>
    <xf numFmtId="189" fontId="11" fillId="0" borderId="8" xfId="0" applyNumberFormat="1" applyFont="1" applyFill="1" applyBorder="1" applyAlignment="1" applyProtection="1">
      <alignment horizontal="right" vertical="center" wrapText="1"/>
    </xf>
    <xf numFmtId="182" fontId="11" fillId="16" borderId="8" xfId="0" applyNumberFormat="1" applyFont="1" applyFill="1" applyBorder="1" applyAlignment="1" applyProtection="1">
      <alignment horizontal="right" vertical="center" wrapText="1" shrinkToFit="1"/>
      <protection locked="0"/>
    </xf>
    <xf numFmtId="0" fontId="11" fillId="0" borderId="8" xfId="0" applyFont="1" applyFill="1" applyBorder="1" applyAlignment="1" applyProtection="1">
      <alignment horizontal="right" vertical="center" wrapText="1" shrinkToFit="1"/>
      <protection locked="0"/>
    </xf>
    <xf numFmtId="190" fontId="13" fillId="13" borderId="8" xfId="0" applyNumberFormat="1" applyFont="1" applyFill="1" applyBorder="1" applyAlignment="1" applyProtection="1">
      <alignment horizontal="right" vertical="center" wrapText="1"/>
      <protection locked="0"/>
    </xf>
    <xf numFmtId="182" fontId="11" fillId="16" borderId="8" xfId="0" applyNumberFormat="1" applyFont="1" applyFill="1" applyBorder="1" applyAlignment="1" applyProtection="1">
      <alignment horizontal="right" vertical="center" wrapText="1"/>
    </xf>
    <xf numFmtId="5" fontId="11" fillId="0" borderId="8" xfId="0" applyNumberFormat="1" applyFont="1" applyFill="1" applyBorder="1" applyAlignment="1" applyProtection="1">
      <alignment horizontal="right" vertical="center" wrapText="1"/>
    </xf>
    <xf numFmtId="182" fontId="14" fillId="16" borderId="8" xfId="0" applyNumberFormat="1" applyFont="1" applyFill="1" applyBorder="1" applyAlignment="1" applyProtection="1">
      <alignment horizontal="right" vertical="center" wrapText="1"/>
    </xf>
    <xf numFmtId="10" fontId="14" fillId="16" borderId="8" xfId="0" applyNumberFormat="1" applyFont="1" applyFill="1" applyBorder="1" applyAlignment="1" applyProtection="1">
      <alignment horizontal="right" vertical="center" wrapText="1"/>
    </xf>
    <xf numFmtId="10" fontId="11" fillId="0" borderId="8" xfId="0" applyNumberFormat="1" applyFont="1" applyFill="1" applyBorder="1" applyAlignment="1" applyProtection="1">
      <alignment horizontal="right" vertical="center" wrapText="1"/>
    </xf>
    <xf numFmtId="179" fontId="11" fillId="16" borderId="8" xfId="0" applyNumberFormat="1" applyFont="1" applyFill="1" applyBorder="1" applyAlignment="1" applyProtection="1">
      <alignment horizontal="right" vertical="center" wrapText="1"/>
    </xf>
    <xf numFmtId="179" fontId="11" fillId="0" borderId="8" xfId="0" applyNumberFormat="1" applyFont="1" applyFill="1" applyBorder="1" applyAlignment="1" applyProtection="1">
      <alignment horizontal="right" vertical="center" wrapText="1"/>
    </xf>
    <xf numFmtId="10" fontId="11" fillId="16" borderId="8" xfId="0" applyNumberFormat="1" applyFont="1" applyFill="1" applyBorder="1" applyAlignment="1" applyProtection="1">
      <alignment horizontal="right" vertical="center" wrapText="1"/>
    </xf>
    <xf numFmtId="0" fontId="11" fillId="15" borderId="3" xfId="0" applyFont="1" applyFill="1" applyBorder="1" applyAlignment="1" applyProtection="1">
      <alignment vertical="center" shrinkToFit="1"/>
      <protection locked="0"/>
    </xf>
    <xf numFmtId="0" fontId="11" fillId="16" borderId="8" xfId="0" applyFont="1" applyFill="1" applyBorder="1" applyAlignment="1" applyProtection="1">
      <alignment horizontal="right" vertical="center" shrinkToFit="1"/>
      <protection locked="0"/>
    </xf>
    <xf numFmtId="10" fontId="11" fillId="0" borderId="8" xfId="0" applyNumberFormat="1" applyFont="1" applyFill="1" applyBorder="1" applyAlignment="1" applyProtection="1">
      <alignment horizontal="right" vertical="center" shrinkToFit="1"/>
      <protection locked="0"/>
    </xf>
    <xf numFmtId="176" fontId="13" fillId="13" borderId="8" xfId="0" applyNumberFormat="1" applyFont="1" applyFill="1" applyBorder="1" applyAlignment="1" applyProtection="1">
      <alignment horizontal="right" vertical="center" wrapText="1"/>
      <protection locked="0"/>
    </xf>
    <xf numFmtId="191" fontId="11" fillId="16" borderId="8" xfId="0" applyNumberFormat="1" applyFont="1" applyFill="1" applyBorder="1" applyAlignment="1" applyProtection="1">
      <alignment horizontal="right" vertical="center" wrapText="1"/>
      <protection locked="0"/>
    </xf>
    <xf numFmtId="176" fontId="11" fillId="0" borderId="8" xfId="0" applyNumberFormat="1" applyFont="1" applyFill="1" applyBorder="1" applyAlignment="1" applyProtection="1">
      <alignment horizontal="right" vertical="center" shrinkToFit="1"/>
      <protection locked="0"/>
    </xf>
    <xf numFmtId="5" fontId="14" fillId="16" borderId="8" xfId="0" applyNumberFormat="1" applyFont="1" applyFill="1" applyBorder="1" applyAlignment="1" applyProtection="1">
      <alignment horizontal="right" vertical="center" wrapText="1"/>
      <protection locked="0"/>
    </xf>
    <xf numFmtId="182" fontId="11" fillId="0" borderId="8" xfId="0" applyNumberFormat="1" applyFont="1" applyFill="1" applyBorder="1" applyAlignment="1" applyProtection="1">
      <alignment horizontal="right" vertical="center" wrapText="1"/>
      <protection locked="0"/>
    </xf>
    <xf numFmtId="5" fontId="11" fillId="16" borderId="8" xfId="0" applyNumberFormat="1" applyFont="1" applyFill="1" applyBorder="1" applyAlignment="1" applyProtection="1">
      <alignment horizontal="right" vertical="center" wrapText="1"/>
      <protection locked="0"/>
    </xf>
    <xf numFmtId="5" fontId="11" fillId="0" borderId="8" xfId="0" applyNumberFormat="1" applyFont="1" applyFill="1" applyBorder="1" applyAlignment="1" applyProtection="1">
      <alignment horizontal="right" vertical="center" wrapText="1"/>
      <protection locked="0"/>
    </xf>
    <xf numFmtId="6" fontId="11" fillId="0" borderId="8" xfId="0" applyNumberFormat="1" applyFont="1" applyFill="1" applyBorder="1" applyAlignment="1" applyProtection="1">
      <alignment horizontal="right" vertical="center" wrapText="1"/>
      <protection locked="0"/>
    </xf>
    <xf numFmtId="0" fontId="13" fillId="13" borderId="3" xfId="0" applyFont="1" applyFill="1" applyBorder="1" applyAlignment="1" applyProtection="1">
      <alignment vertical="center" shrinkToFit="1"/>
      <protection locked="0"/>
    </xf>
    <xf numFmtId="0" fontId="13" fillId="13" borderId="8" xfId="0" applyFont="1" applyFill="1" applyBorder="1" applyAlignment="1" applyProtection="1">
      <alignment horizontal="right" vertical="center" shrinkToFit="1"/>
      <protection locked="0"/>
    </xf>
    <xf numFmtId="5" fontId="13" fillId="13" borderId="8" xfId="0" applyNumberFormat="1" applyFont="1" applyFill="1" applyBorder="1" applyAlignment="1" applyProtection="1">
      <alignment horizontal="right" vertical="center" shrinkToFit="1"/>
      <protection locked="0"/>
    </xf>
    <xf numFmtId="176" fontId="10" fillId="0" borderId="8" xfId="0" applyNumberFormat="1" applyFont="1" applyFill="1" applyBorder="1" applyAlignment="1" applyProtection="1">
      <alignment horizontal="right" vertical="center" wrapText="1"/>
      <protection locked="0"/>
    </xf>
    <xf numFmtId="5" fontId="10" fillId="0" borderId="8" xfId="0" applyNumberFormat="1" applyFont="1" applyFill="1" applyBorder="1" applyAlignment="1" applyProtection="1">
      <alignment horizontal="right" vertical="center" wrapText="1"/>
      <protection locked="0"/>
    </xf>
    <xf numFmtId="178" fontId="11" fillId="15" borderId="3" xfId="0" applyNumberFormat="1" applyFont="1" applyFill="1" applyBorder="1" applyAlignment="1" applyProtection="1">
      <alignment vertical="center" wrapText="1" shrinkToFit="1"/>
      <protection locked="0"/>
    </xf>
    <xf numFmtId="5" fontId="13" fillId="13" borderId="8" xfId="0" applyNumberFormat="1" applyFont="1" applyFill="1" applyBorder="1" applyAlignment="1" applyProtection="1">
      <alignment horizontal="right" vertical="center" wrapText="1"/>
      <protection locked="0"/>
    </xf>
    <xf numFmtId="10" fontId="10" fillId="16" borderId="8" xfId="0" applyNumberFormat="1" applyFont="1" applyFill="1" applyBorder="1" applyAlignment="1" applyProtection="1">
      <alignment horizontal="right" vertical="center" wrapText="1"/>
      <protection locked="0"/>
    </xf>
    <xf numFmtId="192" fontId="11" fillId="0" borderId="8" xfId="0" applyNumberFormat="1" applyFont="1" applyFill="1" applyBorder="1" applyAlignment="1" applyProtection="1">
      <alignment horizontal="right" vertical="center" wrapText="1"/>
      <protection locked="0"/>
    </xf>
    <xf numFmtId="189" fontId="11" fillId="0" borderId="8" xfId="0" applyNumberFormat="1" applyFont="1" applyFill="1" applyBorder="1" applyAlignment="1" applyProtection="1">
      <alignment horizontal="right" vertical="center" wrapText="1"/>
      <protection locked="0"/>
    </xf>
    <xf numFmtId="0" fontId="11" fillId="16" borderId="8" xfId="0" applyFont="1" applyFill="1" applyBorder="1" applyAlignment="1" applyProtection="1">
      <alignment horizontal="right" vertical="center" wrapText="1"/>
    </xf>
    <xf numFmtId="193" fontId="11" fillId="0" borderId="8" xfId="0" applyNumberFormat="1" applyFont="1" applyFill="1" applyBorder="1" applyAlignment="1" applyProtection="1">
      <alignment horizontal="right" vertical="center" wrapText="1"/>
    </xf>
    <xf numFmtId="194" fontId="11" fillId="0" borderId="8" xfId="0" applyNumberFormat="1" applyFont="1" applyFill="1" applyBorder="1" applyAlignment="1" applyProtection="1">
      <alignment horizontal="right" vertical="center" wrapText="1"/>
      <protection locked="0"/>
    </xf>
    <xf numFmtId="194" fontId="11" fillId="0" borderId="14" xfId="0" applyNumberFormat="1" applyFont="1" applyFill="1" applyBorder="1" applyAlignment="1" applyProtection="1">
      <alignment horizontal="right" vertical="center" wrapText="1"/>
      <protection locked="0"/>
    </xf>
    <xf numFmtId="0" fontId="11" fillId="15" borderId="3" xfId="0" applyFont="1" applyFill="1" applyBorder="1" applyAlignment="1" applyProtection="1">
      <alignment horizontal="left" vertical="top" wrapText="1" shrinkToFit="1"/>
      <protection locked="0"/>
    </xf>
    <xf numFmtId="5" fontId="11" fillId="16" borderId="8" xfId="0" applyNumberFormat="1" applyFont="1" applyFill="1" applyBorder="1" applyAlignment="1" applyProtection="1">
      <alignment horizontal="right" vertical="top" wrapText="1" shrinkToFit="1"/>
      <protection locked="0"/>
    </xf>
    <xf numFmtId="0" fontId="11" fillId="0" borderId="14" xfId="0" applyNumberFormat="1" applyFont="1" applyFill="1" applyBorder="1" applyAlignment="1" applyProtection="1">
      <alignment horizontal="right" vertical="top" wrapText="1" shrinkToFit="1"/>
      <protection locked="0"/>
    </xf>
    <xf numFmtId="5" fontId="14" fillId="16" borderId="8" xfId="0" applyNumberFormat="1" applyFont="1" applyFill="1" applyBorder="1" applyAlignment="1" applyProtection="1">
      <alignment horizontal="right" vertical="center" wrapText="1"/>
    </xf>
    <xf numFmtId="5" fontId="11" fillId="16" borderId="8" xfId="0" applyNumberFormat="1" applyFont="1" applyFill="1" applyBorder="1" applyAlignment="1" applyProtection="1">
      <alignment horizontal="right" vertical="center" wrapText="1"/>
    </xf>
    <xf numFmtId="182" fontId="11" fillId="0" borderId="8" xfId="0" applyNumberFormat="1" applyFont="1" applyFill="1" applyBorder="1" applyAlignment="1" applyProtection="1">
      <alignment horizontal="right" vertical="center" wrapText="1"/>
    </xf>
    <xf numFmtId="195" fontId="13" fillId="13" borderId="8" xfId="0" applyNumberFormat="1" applyFont="1" applyFill="1" applyBorder="1" applyAlignment="1" applyProtection="1">
      <alignment horizontal="right" vertical="center" wrapText="1"/>
      <protection locked="0"/>
    </xf>
    <xf numFmtId="196" fontId="11" fillId="16" borderId="8" xfId="0" applyNumberFormat="1" applyFont="1" applyFill="1" applyBorder="1" applyAlignment="1" applyProtection="1">
      <alignment horizontal="right" vertical="center" wrapText="1"/>
      <protection locked="0"/>
    </xf>
    <xf numFmtId="196" fontId="11" fillId="0" borderId="8" xfId="0" applyNumberFormat="1" applyFont="1" applyFill="1" applyBorder="1" applyAlignment="1" applyProtection="1">
      <alignment horizontal="right" vertical="center" wrapText="1"/>
      <protection locked="0"/>
    </xf>
    <xf numFmtId="196" fontId="14" fillId="16" borderId="8" xfId="0" applyNumberFormat="1" applyFont="1" applyFill="1" applyBorder="1" applyAlignment="1" applyProtection="1">
      <alignment horizontal="right" vertical="center" wrapText="1"/>
      <protection locked="0"/>
    </xf>
    <xf numFmtId="178" fontId="11" fillId="15" borderId="3" xfId="0" applyNumberFormat="1" applyFont="1" applyFill="1" applyBorder="1" applyAlignment="1" applyProtection="1">
      <alignment vertical="center" shrinkToFit="1"/>
      <protection locked="0"/>
    </xf>
    <xf numFmtId="179" fontId="11" fillId="16" borderId="8" xfId="0" applyNumberFormat="1" applyFont="1" applyFill="1" applyBorder="1" applyAlignment="1" applyProtection="1">
      <alignment horizontal="right" vertical="center" wrapText="1"/>
      <protection locked="0"/>
    </xf>
    <xf numFmtId="179" fontId="11" fillId="0" borderId="8" xfId="0" applyNumberFormat="1" applyFont="1" applyFill="1" applyBorder="1" applyAlignment="1" applyProtection="1">
      <alignment horizontal="right" vertical="center" wrapText="1"/>
      <protection locked="0"/>
    </xf>
    <xf numFmtId="178" fontId="11" fillId="0" borderId="3" xfId="0" applyNumberFormat="1" applyFont="1" applyFill="1" applyBorder="1" applyAlignment="1" applyProtection="1">
      <alignment vertical="center" shrinkToFit="1"/>
      <protection locked="0"/>
    </xf>
    <xf numFmtId="0" fontId="11" fillId="15" borderId="3" xfId="0" applyFont="1" applyFill="1" applyBorder="1" applyAlignment="1" applyProtection="1">
      <alignment horizontal="right" vertical="center" shrinkToFit="1"/>
      <protection locked="0"/>
    </xf>
    <xf numFmtId="0" fontId="12" fillId="13" borderId="3" xfId="0" applyFont="1" applyFill="1" applyBorder="1" applyAlignment="1" applyProtection="1">
      <alignment horizontal="right" vertical="center" shrinkToFit="1"/>
      <protection locked="0"/>
    </xf>
    <xf numFmtId="0" fontId="12" fillId="5" borderId="3" xfId="0" applyFont="1" applyFill="1" applyBorder="1" applyAlignment="1" applyProtection="1">
      <alignment horizontal="right" vertical="center" shrinkToFit="1"/>
      <protection locked="0"/>
    </xf>
    <xf numFmtId="0" fontId="11" fillId="0" borderId="0" xfId="0" applyFont="1" applyAlignment="1">
      <alignment vertical="center" shrinkToFit="1"/>
    </xf>
    <xf numFmtId="0" fontId="11" fillId="0" borderId="0" xfId="0" applyFont="1" applyAlignment="1" applyProtection="1">
      <alignment vertical="center" wrapText="1"/>
      <protection locked="0"/>
    </xf>
    <xf numFmtId="7" fontId="11" fillId="0" borderId="0" xfId="0" applyNumberFormat="1" applyFont="1" applyFill="1" applyBorder="1" applyAlignment="1" applyProtection="1">
      <alignment horizontal="right" vertical="center" wrapText="1"/>
      <protection locked="0"/>
    </xf>
    <xf numFmtId="0" fontId="11" fillId="0" borderId="0" xfId="0" applyFont="1" applyAlignment="1" applyProtection="1">
      <alignment horizontal="right" vertical="center" wrapText="1"/>
      <protection locked="0"/>
    </xf>
    <xf numFmtId="0" fontId="11" fillId="0" borderId="0" xfId="0" applyFont="1" applyFill="1" applyBorder="1" applyAlignment="1" applyProtection="1">
      <alignment horizontal="right" vertical="center" wrapText="1"/>
      <protection locked="0"/>
    </xf>
    <xf numFmtId="0" fontId="6" fillId="0" borderId="0" xfId="0" applyFont="1">
      <alignment vertical="center"/>
    </xf>
    <xf numFmtId="0" fontId="15" fillId="0" borderId="0" xfId="0" applyFont="1">
      <alignment vertical="center"/>
    </xf>
    <xf numFmtId="0" fontId="6" fillId="0" borderId="0" xfId="0" applyFont="1" applyAlignment="1">
      <alignment vertical="center"/>
    </xf>
    <xf numFmtId="0" fontId="16" fillId="0" borderId="0" xfId="0" applyFont="1">
      <alignment vertical="center"/>
    </xf>
    <xf numFmtId="0" fontId="12" fillId="13" borderId="1" xfId="0" applyFont="1" applyFill="1" applyBorder="1">
      <alignment vertical="center"/>
    </xf>
    <xf numFmtId="0" fontId="13" fillId="13" borderId="2" xfId="0" applyFont="1" applyFill="1" applyBorder="1">
      <alignment vertical="center"/>
    </xf>
    <xf numFmtId="0" fontId="11" fillId="2" borderId="3" xfId="0" applyFont="1" applyFill="1" applyBorder="1" applyAlignment="1">
      <alignment horizontal="left" vertical="center"/>
    </xf>
    <xf numFmtId="0" fontId="11" fillId="2" borderId="1" xfId="0" applyFont="1" applyFill="1" applyBorder="1" applyAlignment="1">
      <alignment horizontal="left" vertical="center"/>
    </xf>
    <xf numFmtId="0" fontId="11" fillId="2" borderId="4"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xf>
    <xf numFmtId="0" fontId="11" fillId="0" borderId="0" xfId="0" applyFont="1" applyFill="1" applyBorder="1">
      <alignment vertical="center"/>
    </xf>
    <xf numFmtId="0" fontId="11" fillId="0" borderId="7" xfId="0" applyFont="1" applyFill="1" applyBorder="1" applyAlignment="1">
      <alignment horizontal="left" vertical="center"/>
    </xf>
    <xf numFmtId="0" fontId="11" fillId="0" borderId="7" xfId="0" applyNumberFormat="1" applyFont="1" applyBorder="1" applyAlignment="1">
      <alignment horizontal="left" vertical="center"/>
    </xf>
    <xf numFmtId="0" fontId="11" fillId="0" borderId="7" xfId="0" applyFont="1" applyBorder="1" applyAlignment="1">
      <alignment horizontal="left" vertical="center"/>
    </xf>
    <xf numFmtId="176" fontId="11" fillId="0" borderId="7" xfId="0" applyNumberFormat="1" applyFont="1" applyFill="1" applyBorder="1" applyAlignment="1">
      <alignment horizontal="left" vertical="center"/>
    </xf>
    <xf numFmtId="0" fontId="11" fillId="0" borderId="7" xfId="0" applyFont="1" applyFill="1" applyBorder="1" applyAlignment="1">
      <alignment horizontal="left" vertical="center" shrinkToFit="1"/>
    </xf>
    <xf numFmtId="177" fontId="11" fillId="0" borderId="0" xfId="0" applyNumberFormat="1" applyFont="1">
      <alignment vertical="center"/>
    </xf>
    <xf numFmtId="178" fontId="11" fillId="0" borderId="0" xfId="0" applyNumberFormat="1" applyFont="1">
      <alignment vertical="center"/>
    </xf>
    <xf numFmtId="5" fontId="11" fillId="0" borderId="0" xfId="0" applyNumberFormat="1" applyFont="1">
      <alignment vertical="center"/>
    </xf>
    <xf numFmtId="179" fontId="11" fillId="0" borderId="0" xfId="0" applyNumberFormat="1" applyFont="1">
      <alignment vertical="center"/>
    </xf>
    <xf numFmtId="5" fontId="11" fillId="0" borderId="0" xfId="0" applyNumberFormat="1" applyFont="1" applyFill="1">
      <alignment vertical="center"/>
    </xf>
    <xf numFmtId="0" fontId="11" fillId="3" borderId="0" xfId="0" applyFont="1" applyFill="1" applyBorder="1" applyAlignment="1">
      <alignment horizontal="left" vertical="center"/>
    </xf>
    <xf numFmtId="0" fontId="11" fillId="3" borderId="0" xfId="0" applyNumberFormat="1" applyFont="1" applyFill="1" applyBorder="1" applyAlignment="1">
      <alignment horizontal="left" vertical="center"/>
    </xf>
    <xf numFmtId="176" fontId="11" fillId="3" borderId="0" xfId="0" applyNumberFormat="1" applyFont="1" applyFill="1" applyBorder="1" applyAlignment="1">
      <alignment horizontal="left" vertical="center"/>
    </xf>
    <xf numFmtId="0" fontId="11" fillId="3"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0" xfId="0" applyNumberFormat="1" applyFont="1" applyBorder="1" applyAlignment="1">
      <alignment horizontal="left" vertical="center"/>
    </xf>
    <xf numFmtId="0" fontId="11" fillId="0" borderId="0" xfId="0" applyFont="1" applyBorder="1" applyAlignment="1">
      <alignment horizontal="left" vertical="center"/>
    </xf>
    <xf numFmtId="176" fontId="11" fillId="0" borderId="0" xfId="0" applyNumberFormat="1" applyFont="1" applyFill="1" applyBorder="1" applyAlignment="1">
      <alignment horizontal="left" vertical="center"/>
    </xf>
    <xf numFmtId="180"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shrinkToFit="1"/>
    </xf>
    <xf numFmtId="180" fontId="11" fillId="3"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0" fontId="11" fillId="4" borderId="0" xfId="0" applyNumberFormat="1" applyFont="1" applyFill="1" applyBorder="1" applyAlignment="1">
      <alignment horizontal="left" vertical="center"/>
    </xf>
    <xf numFmtId="176" fontId="11" fillId="4" borderId="0" xfId="0" applyNumberFormat="1" applyFont="1" applyFill="1" applyBorder="1" applyAlignment="1">
      <alignment horizontal="left" vertical="center"/>
    </xf>
    <xf numFmtId="180" fontId="11" fillId="4" borderId="0" xfId="0" applyNumberFormat="1" applyFont="1" applyFill="1" applyBorder="1" applyAlignment="1">
      <alignment horizontal="left" vertical="center"/>
    </xf>
    <xf numFmtId="0" fontId="11" fillId="4" borderId="0" xfId="0" applyFont="1" applyFill="1" applyBorder="1" applyAlignment="1">
      <alignment horizontal="left" vertical="center" shrinkToFit="1"/>
    </xf>
    <xf numFmtId="0" fontId="11" fillId="0" borderId="0" xfId="0" applyNumberFormat="1" applyFont="1" applyFill="1" applyBorder="1" applyAlignment="1">
      <alignment horizontal="left" vertical="center"/>
    </xf>
    <xf numFmtId="0" fontId="11" fillId="3" borderId="12" xfId="0" applyFont="1" applyFill="1" applyBorder="1" applyAlignment="1">
      <alignment horizontal="left" vertical="center"/>
    </xf>
    <xf numFmtId="0" fontId="11" fillId="3" borderId="12" xfId="0" applyNumberFormat="1" applyFont="1" applyFill="1" applyBorder="1" applyAlignment="1">
      <alignment horizontal="left" vertical="center"/>
    </xf>
    <xf numFmtId="176" fontId="11" fillId="3" borderId="12" xfId="0" applyNumberFormat="1" applyFont="1" applyFill="1" applyBorder="1" applyAlignment="1">
      <alignment horizontal="left" vertical="center"/>
    </xf>
    <xf numFmtId="180" fontId="11" fillId="3" borderId="12" xfId="0" applyNumberFormat="1" applyFont="1" applyFill="1" applyBorder="1" applyAlignment="1">
      <alignment horizontal="left" vertical="center"/>
    </xf>
    <xf numFmtId="0" fontId="11" fillId="3" borderId="12" xfId="0" applyFont="1" applyFill="1" applyBorder="1" applyAlignment="1">
      <alignment horizontal="left" vertical="center" shrinkToFit="1"/>
    </xf>
    <xf numFmtId="0" fontId="6" fillId="0" borderId="12" xfId="0" applyFont="1" applyBorder="1" applyAlignment="1">
      <alignment vertical="center"/>
    </xf>
    <xf numFmtId="0" fontId="11" fillId="0" borderId="12" xfId="0" applyFont="1" applyBorder="1">
      <alignment vertical="center"/>
    </xf>
    <xf numFmtId="181" fontId="11" fillId="0" borderId="0" xfId="0" applyNumberFormat="1" applyFont="1">
      <alignment vertical="center"/>
    </xf>
    <xf numFmtId="0" fontId="11" fillId="3" borderId="0" xfId="0" applyFont="1" applyFill="1">
      <alignment vertical="center"/>
    </xf>
    <xf numFmtId="181" fontId="11" fillId="3" borderId="0" xfId="0" applyNumberFormat="1" applyFont="1" applyFill="1">
      <alignment vertical="center"/>
    </xf>
    <xf numFmtId="9" fontId="11" fillId="0" borderId="0" xfId="0" applyNumberFormat="1" applyFont="1">
      <alignment vertical="center"/>
    </xf>
    <xf numFmtId="0" fontId="11" fillId="0" borderId="0" xfId="0" applyFont="1" applyAlignment="1">
      <alignment horizontal="right" vertical="center"/>
    </xf>
    <xf numFmtId="0" fontId="11" fillId="3" borderId="0" xfId="0" applyFont="1" applyFill="1" applyBorder="1">
      <alignment vertical="center"/>
    </xf>
    <xf numFmtId="10" fontId="11" fillId="0" borderId="0" xfId="0" applyNumberFormat="1" applyFont="1">
      <alignment vertical="center"/>
    </xf>
    <xf numFmtId="0" fontId="11" fillId="0" borderId="13" xfId="0" applyFont="1" applyBorder="1">
      <alignment vertical="center"/>
    </xf>
    <xf numFmtId="181" fontId="11" fillId="0" borderId="13" xfId="0" applyNumberFormat="1" applyFont="1" applyBorder="1">
      <alignment vertical="center"/>
    </xf>
    <xf numFmtId="0" fontId="11" fillId="3" borderId="0" xfId="0" applyFont="1" applyFill="1" applyAlignment="1">
      <alignment horizontal="right" vertical="center"/>
    </xf>
    <xf numFmtId="9" fontId="11" fillId="3" borderId="0" xfId="0" applyNumberFormat="1" applyFont="1" applyFill="1">
      <alignment vertical="center"/>
    </xf>
    <xf numFmtId="181" fontId="11" fillId="0" borderId="12" xfId="0" applyNumberFormat="1" applyFont="1" applyBorder="1">
      <alignment vertical="center"/>
    </xf>
    <xf numFmtId="0" fontId="12" fillId="13" borderId="6" xfId="0" applyFont="1" applyFill="1" applyBorder="1">
      <alignment vertical="center"/>
    </xf>
    <xf numFmtId="0" fontId="11" fillId="13" borderId="7" xfId="0" applyFont="1" applyFill="1" applyBorder="1">
      <alignment vertical="center"/>
    </xf>
    <xf numFmtId="6" fontId="11" fillId="13" borderId="7" xfId="0" applyNumberFormat="1" applyFont="1" applyFill="1" applyBorder="1">
      <alignment vertical="center"/>
    </xf>
    <xf numFmtId="0" fontId="11" fillId="0" borderId="9" xfId="0" applyFont="1" applyBorder="1">
      <alignment vertical="center"/>
    </xf>
    <xf numFmtId="0" fontId="11" fillId="2" borderId="1" xfId="0" applyFont="1" applyFill="1" applyBorder="1">
      <alignment vertical="center"/>
    </xf>
    <xf numFmtId="0" fontId="11" fillId="2" borderId="3" xfId="0" applyFont="1" applyFill="1" applyBorder="1">
      <alignment vertical="center"/>
    </xf>
    <xf numFmtId="0" fontId="11" fillId="2" borderId="2" xfId="0" applyFont="1" applyFill="1" applyBorder="1">
      <alignment vertical="center"/>
    </xf>
    <xf numFmtId="0" fontId="11" fillId="0" borderId="7" xfId="0" applyFont="1" applyBorder="1">
      <alignment vertical="center"/>
    </xf>
    <xf numFmtId="195" fontId="17" fillId="0" borderId="7" xfId="0" applyNumberFormat="1" applyFont="1" applyBorder="1" applyAlignment="1">
      <alignment vertical="center"/>
    </xf>
    <xf numFmtId="0" fontId="11" fillId="0" borderId="6" xfId="0" applyFont="1" applyBorder="1">
      <alignment vertical="center"/>
    </xf>
    <xf numFmtId="195" fontId="18" fillId="0" borderId="7" xfId="0" applyNumberFormat="1" applyFont="1" applyBorder="1">
      <alignment vertical="center"/>
    </xf>
    <xf numFmtId="0" fontId="11" fillId="0" borderId="6" xfId="0" applyFont="1" applyFill="1" applyBorder="1">
      <alignment vertical="center"/>
    </xf>
    <xf numFmtId="195" fontId="11" fillId="0" borderId="7" xfId="0" applyNumberFormat="1" applyFont="1" applyBorder="1">
      <alignment vertical="center"/>
    </xf>
    <xf numFmtId="0" fontId="11" fillId="0" borderId="0" xfId="0" applyFont="1" applyBorder="1">
      <alignment vertical="center"/>
    </xf>
    <xf numFmtId="181" fontId="17" fillId="3" borderId="0" xfId="0" applyNumberFormat="1" applyFont="1" applyFill="1" applyBorder="1" applyAlignment="1">
      <alignment vertical="center"/>
    </xf>
    <xf numFmtId="0" fontId="11" fillId="3" borderId="9" xfId="0" applyFont="1" applyFill="1" applyBorder="1">
      <alignment vertical="center"/>
    </xf>
    <xf numFmtId="195" fontId="18" fillId="3" borderId="14" xfId="0" applyNumberFormat="1" applyFont="1" applyFill="1" applyBorder="1">
      <alignment vertical="center"/>
    </xf>
    <xf numFmtId="195" fontId="11" fillId="3" borderId="0" xfId="0" applyNumberFormat="1" applyFont="1" applyFill="1" applyBorder="1">
      <alignment vertical="center"/>
    </xf>
    <xf numFmtId="181" fontId="17" fillId="0" borderId="0" xfId="0" applyNumberFormat="1" applyFont="1" applyFill="1" applyBorder="1" applyAlignment="1">
      <alignment vertical="center"/>
    </xf>
    <xf numFmtId="0" fontId="11" fillId="0" borderId="9" xfId="0" applyFont="1" applyFill="1" applyBorder="1">
      <alignment vertical="center"/>
    </xf>
    <xf numFmtId="195" fontId="18" fillId="0" borderId="0" xfId="0" applyNumberFormat="1" applyFont="1" applyBorder="1">
      <alignment vertical="center"/>
    </xf>
    <xf numFmtId="6" fontId="11" fillId="0" borderId="0" xfId="0" applyNumberFormat="1" applyFont="1" applyBorder="1">
      <alignment vertical="center"/>
    </xf>
    <xf numFmtId="6" fontId="11" fillId="3" borderId="0" xfId="0" applyNumberFormat="1" applyFont="1" applyFill="1" applyBorder="1">
      <alignment vertical="center"/>
    </xf>
    <xf numFmtId="0" fontId="11" fillId="4" borderId="13" xfId="0" applyFont="1" applyFill="1" applyBorder="1">
      <alignment vertical="center"/>
    </xf>
    <xf numFmtId="195" fontId="17" fillId="4" borderId="13" xfId="0" applyNumberFormat="1" applyFont="1" applyFill="1" applyBorder="1" applyAlignment="1">
      <alignment vertical="center"/>
    </xf>
    <xf numFmtId="0" fontId="11" fillId="4" borderId="15" xfId="0" applyFont="1" applyFill="1" applyBorder="1">
      <alignment vertical="center"/>
    </xf>
    <xf numFmtId="6" fontId="18" fillId="4" borderId="13" xfId="0" applyNumberFormat="1" applyFont="1" applyFill="1" applyBorder="1">
      <alignment vertical="center"/>
    </xf>
    <xf numFmtId="6" fontId="11" fillId="4" borderId="13" xfId="0" applyNumberFormat="1" applyFont="1" applyFill="1" applyBorder="1">
      <alignment vertical="center"/>
    </xf>
    <xf numFmtId="0" fontId="11" fillId="0" borderId="16" xfId="0" applyFont="1" applyBorder="1">
      <alignment vertical="center"/>
    </xf>
    <xf numFmtId="0" fontId="11" fillId="0" borderId="16" xfId="0" applyFont="1" applyFill="1" applyBorder="1">
      <alignment vertical="center"/>
    </xf>
    <xf numFmtId="181" fontId="18" fillId="0" borderId="0" xfId="0" applyNumberFormat="1" applyFont="1" applyFill="1" applyBorder="1" applyAlignment="1">
      <alignment vertical="center"/>
    </xf>
    <xf numFmtId="181" fontId="10" fillId="0" borderId="0" xfId="0" applyNumberFormat="1" applyFont="1" applyFill="1" applyBorder="1" applyAlignment="1">
      <alignment vertical="center"/>
    </xf>
    <xf numFmtId="182" fontId="19" fillId="0" borderId="0" xfId="0" applyNumberFormat="1" applyFont="1" applyBorder="1" applyAlignment="1">
      <alignment horizontal="right" vertical="center"/>
    </xf>
    <xf numFmtId="182" fontId="11" fillId="0" borderId="0" xfId="0" applyNumberFormat="1" applyFont="1" applyFill="1" applyBorder="1">
      <alignment vertical="center"/>
    </xf>
    <xf numFmtId="6" fontId="11" fillId="0" borderId="0" xfId="0" applyNumberFormat="1" applyFont="1">
      <alignment vertical="center"/>
    </xf>
    <xf numFmtId="0" fontId="11" fillId="13" borderId="2" xfId="0" applyFont="1" applyFill="1" applyBorder="1">
      <alignment vertical="center"/>
    </xf>
    <xf numFmtId="0" fontId="11" fillId="13" borderId="4" xfId="0" applyFont="1" applyFill="1" applyBorder="1">
      <alignment vertical="center"/>
    </xf>
    <xf numFmtId="0" fontId="11" fillId="2" borderId="2" xfId="0" applyFont="1" applyFill="1" applyBorder="1" applyAlignment="1">
      <alignment horizontal="left" vertical="center"/>
    </xf>
    <xf numFmtId="0" fontId="13" fillId="0" borderId="0" xfId="0" applyFont="1">
      <alignment vertical="center"/>
    </xf>
    <xf numFmtId="0" fontId="11" fillId="3" borderId="7" xfId="0" applyFont="1" applyFill="1" applyBorder="1" applyAlignment="1">
      <alignment horizontal="left" vertical="center"/>
    </xf>
    <xf numFmtId="177" fontId="11" fillId="3" borderId="7" xfId="0" applyNumberFormat="1" applyFont="1" applyFill="1" applyBorder="1" applyAlignment="1">
      <alignment horizontal="right" vertical="center"/>
    </xf>
    <xf numFmtId="183" fontId="11" fillId="3" borderId="7" xfId="0" applyNumberFormat="1" applyFont="1" applyFill="1" applyBorder="1" applyAlignment="1">
      <alignment horizontal="right" vertical="center"/>
    </xf>
    <xf numFmtId="5" fontId="11" fillId="3" borderId="7"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183" fontId="11" fillId="0" borderId="0" xfId="0" applyNumberFormat="1" applyFont="1" applyFill="1" applyBorder="1" applyAlignment="1">
      <alignment horizontal="right" vertical="center"/>
    </xf>
    <xf numFmtId="5" fontId="11" fillId="0" borderId="0" xfId="0" applyNumberFormat="1" applyFont="1" applyFill="1" applyBorder="1" applyAlignment="1">
      <alignment horizontal="right" vertical="center"/>
    </xf>
    <xf numFmtId="177" fontId="11" fillId="3" borderId="0" xfId="0" applyNumberFormat="1" applyFont="1" applyFill="1" applyBorder="1" applyAlignment="1">
      <alignment horizontal="right" vertical="center"/>
    </xf>
    <xf numFmtId="183" fontId="11" fillId="3" borderId="0" xfId="0" applyNumberFormat="1" applyFont="1" applyFill="1" applyBorder="1" applyAlignment="1">
      <alignment horizontal="right" vertical="center"/>
    </xf>
    <xf numFmtId="5" fontId="11" fillId="3" borderId="0" xfId="0" applyNumberFormat="1" applyFont="1" applyFill="1" applyBorder="1" applyAlignment="1">
      <alignment horizontal="right" vertical="center"/>
    </xf>
    <xf numFmtId="0" fontId="11" fillId="3" borderId="13" xfId="0" applyFont="1" applyFill="1" applyBorder="1" applyAlignment="1">
      <alignment horizontal="left" vertical="center"/>
    </xf>
    <xf numFmtId="177" fontId="11" fillId="3" borderId="13" xfId="0" applyNumberFormat="1" applyFont="1" applyFill="1" applyBorder="1" applyAlignment="1">
      <alignment horizontal="right" vertical="center"/>
    </xf>
    <xf numFmtId="199" fontId="11" fillId="3" borderId="13" xfId="0" applyNumberFormat="1" applyFont="1" applyFill="1" applyBorder="1" applyAlignment="1">
      <alignment horizontal="right" vertical="center"/>
    </xf>
    <xf numFmtId="5" fontId="11" fillId="3" borderId="13" xfId="0" applyNumberFormat="1" applyFont="1" applyFill="1" applyBorder="1" applyAlignment="1">
      <alignment horizontal="right" vertical="center"/>
    </xf>
    <xf numFmtId="177" fontId="11" fillId="0" borderId="16" xfId="0" applyNumberFormat="1" applyFont="1" applyBorder="1">
      <alignment vertical="center"/>
    </xf>
    <xf numFmtId="0" fontId="11" fillId="0" borderId="16" xfId="0" applyFont="1" applyBorder="1" applyAlignment="1">
      <alignment horizontal="right" vertical="center"/>
    </xf>
    <xf numFmtId="5" fontId="20" fillId="0" borderId="16" xfId="0" applyNumberFormat="1" applyFont="1" applyBorder="1">
      <alignment vertical="center"/>
    </xf>
    <xf numFmtId="0" fontId="11" fillId="2" borderId="3" xfId="0" applyFont="1" applyFill="1" applyBorder="1" applyAlignment="1">
      <alignment vertical="center" wrapText="1"/>
    </xf>
    <xf numFmtId="0" fontId="11" fillId="3" borderId="7" xfId="0" applyFont="1" applyFill="1" applyBorder="1">
      <alignment vertical="center"/>
    </xf>
    <xf numFmtId="177" fontId="11" fillId="3" borderId="7" xfId="0" applyNumberFormat="1" applyFont="1" applyFill="1" applyBorder="1">
      <alignment vertical="center"/>
    </xf>
    <xf numFmtId="183" fontId="11" fillId="3" borderId="7" xfId="0" applyNumberFormat="1" applyFont="1" applyFill="1" applyBorder="1">
      <alignment vertical="center"/>
    </xf>
    <xf numFmtId="5" fontId="11" fillId="3" borderId="7" xfId="0" applyNumberFormat="1" applyFont="1" applyFill="1" applyBorder="1">
      <alignment vertical="center"/>
    </xf>
    <xf numFmtId="177" fontId="11" fillId="0" borderId="0" xfId="0" applyNumberFormat="1" applyFont="1" applyFill="1" applyBorder="1">
      <alignment vertical="center"/>
    </xf>
    <xf numFmtId="183" fontId="11" fillId="0" borderId="0" xfId="0" applyNumberFormat="1" applyFont="1" applyFill="1" applyBorder="1">
      <alignment vertical="center"/>
    </xf>
    <xf numFmtId="5" fontId="11" fillId="0" borderId="0" xfId="0" applyNumberFormat="1" applyFont="1" applyFill="1" applyBorder="1">
      <alignment vertical="center"/>
    </xf>
    <xf numFmtId="0" fontId="11" fillId="3" borderId="15" xfId="0" applyFont="1" applyFill="1" applyBorder="1">
      <alignment vertical="center"/>
    </xf>
    <xf numFmtId="0" fontId="11" fillId="3" borderId="13" xfId="0" applyFont="1" applyFill="1" applyBorder="1">
      <alignment vertical="center"/>
    </xf>
    <xf numFmtId="177" fontId="11" fillId="3" borderId="13" xfId="0" applyNumberFormat="1" applyFont="1" applyFill="1" applyBorder="1">
      <alignment vertical="center"/>
    </xf>
    <xf numFmtId="183" fontId="11" fillId="3" borderId="13" xfId="0" applyNumberFormat="1" applyFont="1" applyFill="1" applyBorder="1">
      <alignment vertical="center"/>
    </xf>
    <xf numFmtId="5" fontId="11" fillId="3" borderId="13" xfId="0" applyNumberFormat="1" applyFont="1" applyFill="1" applyBorder="1">
      <alignment vertical="center"/>
    </xf>
    <xf numFmtId="0" fontId="11" fillId="2" borderId="2" xfId="0" applyFont="1" applyFill="1" applyBorder="1" applyAlignment="1">
      <alignment vertical="center" wrapText="1"/>
    </xf>
    <xf numFmtId="5" fontId="10" fillId="3" borderId="7" xfId="0" applyNumberFormat="1" applyFont="1" applyFill="1" applyBorder="1">
      <alignment vertical="center"/>
    </xf>
    <xf numFmtId="0" fontId="11" fillId="0" borderId="13" xfId="0" applyFont="1" applyFill="1" applyBorder="1">
      <alignment vertical="center"/>
    </xf>
    <xf numFmtId="200" fontId="11" fillId="0" borderId="13" xfId="0" applyNumberFormat="1" applyFont="1" applyFill="1" applyBorder="1">
      <alignment vertical="center"/>
    </xf>
    <xf numFmtId="177" fontId="11" fillId="0" borderId="13" xfId="0" applyNumberFormat="1" applyFont="1" applyFill="1" applyBorder="1">
      <alignment vertical="center"/>
    </xf>
    <xf numFmtId="201" fontId="11" fillId="0" borderId="13" xfId="0" applyNumberFormat="1" applyFont="1" applyFill="1" applyBorder="1">
      <alignment vertical="center"/>
    </xf>
    <xf numFmtId="5" fontId="10" fillId="0" borderId="13" xfId="0" applyNumberFormat="1" applyFont="1" applyBorder="1">
      <alignment vertical="center"/>
    </xf>
    <xf numFmtId="5" fontId="10" fillId="0" borderId="0" xfId="0" applyNumberFormat="1" applyFont="1" applyFill="1" applyBorder="1" applyAlignment="1">
      <alignment horizontal="right" vertical="center"/>
    </xf>
    <xf numFmtId="5" fontId="18" fillId="0" borderId="0" xfId="0" applyNumberFormat="1" applyFont="1">
      <alignment vertical="center"/>
    </xf>
    <xf numFmtId="177" fontId="11" fillId="0" borderId="0" xfId="0" applyNumberFormat="1" applyFont="1" applyBorder="1">
      <alignment vertical="center"/>
    </xf>
    <xf numFmtId="5" fontId="20" fillId="0" borderId="0" xfId="0" applyNumberFormat="1" applyFont="1" applyBorder="1">
      <alignment vertical="center"/>
    </xf>
    <xf numFmtId="0" fontId="12" fillId="5" borderId="9" xfId="0" applyFont="1" applyFill="1" applyBorder="1" applyAlignment="1">
      <alignment vertical="center"/>
    </xf>
    <xf numFmtId="0" fontId="12" fillId="5" borderId="0" xfId="0" applyFont="1" applyFill="1" applyBorder="1" applyAlignment="1">
      <alignment vertical="center"/>
    </xf>
    <xf numFmtId="14" fontId="11" fillId="3" borderId="0" xfId="0" applyNumberFormat="1" applyFont="1" applyFill="1" applyBorder="1" applyAlignment="1">
      <alignment horizontal="left" vertical="center"/>
    </xf>
    <xf numFmtId="14" fontId="11" fillId="3" borderId="0" xfId="0" applyNumberFormat="1" applyFont="1" applyFill="1" applyBorder="1" applyAlignment="1">
      <alignment vertical="center"/>
    </xf>
    <xf numFmtId="5" fontId="18" fillId="3" borderId="0" xfId="0" applyNumberFormat="1" applyFont="1" applyFill="1" applyBorder="1">
      <alignment vertical="center"/>
    </xf>
    <xf numFmtId="14" fontId="11" fillId="0" borderId="0" xfId="0" applyNumberFormat="1" applyFont="1" applyFill="1" applyBorder="1" applyAlignment="1">
      <alignment horizontal="left" vertical="center"/>
    </xf>
    <xf numFmtId="14" fontId="11" fillId="0" borderId="0" xfId="0" applyNumberFormat="1" applyFont="1" applyFill="1" applyBorder="1" applyAlignment="1">
      <alignment vertical="center"/>
    </xf>
    <xf numFmtId="5" fontId="18" fillId="0" borderId="0" xfId="0" applyNumberFormat="1" applyFont="1" applyFill="1" applyBorder="1">
      <alignment vertical="center"/>
    </xf>
    <xf numFmtId="0" fontId="11" fillId="0" borderId="0" xfId="0" applyFont="1" applyFill="1">
      <alignment vertical="center"/>
    </xf>
    <xf numFmtId="14" fontId="11" fillId="0" borderId="0" xfId="0" applyNumberFormat="1" applyFont="1" applyBorder="1" applyAlignment="1">
      <alignment horizontal="left" vertical="center"/>
    </xf>
    <xf numFmtId="5" fontId="18" fillId="0" borderId="0" xfId="0" applyNumberFormat="1" applyFont="1" applyBorder="1">
      <alignment vertical="center"/>
    </xf>
    <xf numFmtId="49" fontId="11" fillId="3" borderId="0" xfId="0" applyNumberFormat="1" applyFont="1" applyFill="1" applyBorder="1" applyAlignment="1">
      <alignment horizontal="left" vertical="center"/>
    </xf>
    <xf numFmtId="49" fontId="11" fillId="0" borderId="0" xfId="0" applyNumberFormat="1" applyFont="1" applyBorder="1" applyAlignment="1">
      <alignment horizontal="left" vertical="center"/>
    </xf>
    <xf numFmtId="14" fontId="11" fillId="3" borderId="12" xfId="0" applyNumberFormat="1" applyFont="1" applyFill="1" applyBorder="1" applyAlignment="1">
      <alignment horizontal="left" vertical="center"/>
    </xf>
    <xf numFmtId="0" fontId="11" fillId="3" borderId="12" xfId="0" applyFont="1" applyFill="1" applyBorder="1">
      <alignment vertical="center"/>
    </xf>
    <xf numFmtId="5" fontId="18" fillId="3" borderId="12" xfId="0" applyNumberFormat="1" applyFont="1" applyFill="1" applyBorder="1">
      <alignment vertical="center"/>
    </xf>
    <xf numFmtId="194" fontId="12" fillId="18" borderId="0" xfId="0" applyNumberFormat="1" applyFont="1" applyFill="1" applyAlignment="1">
      <alignment horizontal="left" vertical="center"/>
    </xf>
    <xf numFmtId="0" fontId="11" fillId="0" borderId="0" xfId="0" applyFont="1" applyAlignment="1">
      <alignment horizontal="left" vertical="center"/>
    </xf>
    <xf numFmtId="194" fontId="21" fillId="19" borderId="0" xfId="0" applyNumberFormat="1" applyFont="1" applyFill="1" applyAlignment="1">
      <alignment horizontal="left" vertical="center"/>
    </xf>
    <xf numFmtId="0" fontId="11" fillId="0" borderId="0" xfId="0" applyFont="1" applyAlignment="1">
      <alignment horizontal="left" vertical="center" indent="1"/>
    </xf>
    <xf numFmtId="0" fontId="11" fillId="19" borderId="0" xfId="0" applyFont="1" applyFill="1">
      <alignment vertical="center"/>
    </xf>
    <xf numFmtId="0" fontId="22" fillId="5" borderId="0" xfId="0" applyFont="1" applyFill="1">
      <alignment vertical="center"/>
    </xf>
    <xf numFmtId="0" fontId="22" fillId="5" borderId="0" xfId="0" applyFont="1" applyFill="1" applyAlignment="1">
      <alignment vertical="center" shrinkToFit="1"/>
    </xf>
    <xf numFmtId="0" fontId="22" fillId="5" borderId="0" xfId="0" applyFont="1" applyFill="1" applyAlignment="1">
      <alignment horizontal="right" vertical="center"/>
    </xf>
    <xf numFmtId="187" fontId="22" fillId="5" borderId="0" xfId="0" applyNumberFormat="1" applyFont="1" applyFill="1" applyAlignment="1">
      <alignment horizontal="left" vertical="center"/>
    </xf>
    <xf numFmtId="0" fontId="22" fillId="5" borderId="0" xfId="0" applyFont="1" applyFill="1" applyAlignment="1">
      <alignment horizontal="left" vertical="center"/>
    </xf>
    <xf numFmtId="5" fontId="22" fillId="5" borderId="0" xfId="0" applyNumberFormat="1" applyFont="1" applyFill="1" applyAlignment="1">
      <alignment horizontal="right" vertical="center"/>
    </xf>
    <xf numFmtId="49" fontId="22" fillId="5" borderId="0" xfId="0" applyNumberFormat="1" applyFont="1" applyFill="1">
      <alignment vertical="center"/>
    </xf>
    <xf numFmtId="0" fontId="23" fillId="0" borderId="0" xfId="0" applyFont="1">
      <alignment vertical="center"/>
    </xf>
    <xf numFmtId="0" fontId="23" fillId="0" borderId="0" xfId="0" applyFont="1" applyAlignment="1">
      <alignment vertical="center" shrinkToFit="1"/>
    </xf>
    <xf numFmtId="0" fontId="23" fillId="0" borderId="0" xfId="0" applyFont="1" applyAlignment="1">
      <alignment horizontal="right" vertical="center"/>
    </xf>
    <xf numFmtId="182" fontId="23" fillId="0" borderId="0" xfId="0" applyNumberFormat="1" applyFont="1">
      <alignment vertical="center"/>
    </xf>
    <xf numFmtId="187" fontId="23" fillId="0" borderId="0" xfId="0" applyNumberFormat="1" applyFont="1" applyAlignment="1">
      <alignment horizontal="left" vertical="center"/>
    </xf>
    <xf numFmtId="197" fontId="23" fillId="0" borderId="0" xfId="0" applyNumberFormat="1" applyFont="1">
      <alignment vertical="center"/>
    </xf>
    <xf numFmtId="198" fontId="23" fillId="0" borderId="0" xfId="0" applyNumberFormat="1" applyFont="1">
      <alignment vertical="center"/>
    </xf>
    <xf numFmtId="5" fontId="23" fillId="0" borderId="0" xfId="0" applyNumberFormat="1" applyFont="1" applyAlignment="1">
      <alignment horizontal="right" vertical="center"/>
    </xf>
    <xf numFmtId="5" fontId="23" fillId="0" borderId="0" xfId="0" applyNumberFormat="1" applyFont="1">
      <alignment vertical="center"/>
    </xf>
    <xf numFmtId="9" fontId="23" fillId="0" borderId="0" xfId="0" applyNumberFormat="1" applyFont="1">
      <alignment vertical="center"/>
    </xf>
    <xf numFmtId="0" fontId="23" fillId="0" borderId="0" xfId="0" applyFont="1" applyAlignment="1">
      <alignment horizontal="left" vertical="center"/>
    </xf>
    <xf numFmtId="49" fontId="23" fillId="0" borderId="0" xfId="0" applyNumberFormat="1" applyFont="1">
      <alignment vertical="center"/>
    </xf>
    <xf numFmtId="49" fontId="11" fillId="0" borderId="0" xfId="0" applyNumberFormat="1" applyFont="1">
      <alignment vertical="center"/>
    </xf>
    <xf numFmtId="5" fontId="11" fillId="0" borderId="0" xfId="0" applyNumberFormat="1" applyFont="1" applyBorder="1">
      <alignment vertical="center"/>
    </xf>
    <xf numFmtId="5" fontId="11" fillId="0" borderId="13" xfId="0" applyNumberFormat="1" applyFont="1" applyBorder="1">
      <alignment vertical="center"/>
    </xf>
    <xf numFmtId="182" fontId="11" fillId="0" borderId="0" xfId="0" applyNumberFormat="1" applyFont="1">
      <alignment vertical="center"/>
    </xf>
    <xf numFmtId="5" fontId="11" fillId="31" borderId="0" xfId="0" applyNumberFormat="1" applyFont="1" applyFill="1">
      <alignment vertical="center"/>
    </xf>
    <xf numFmtId="0" fontId="11" fillId="31" borderId="0" xfId="0" applyFont="1" applyFill="1">
      <alignment vertical="center"/>
    </xf>
    <xf numFmtId="0" fontId="10" fillId="0" borderId="13" xfId="0" applyFont="1" applyBorder="1">
      <alignment vertical="center"/>
    </xf>
    <xf numFmtId="0" fontId="10" fillId="0" borderId="0" xfId="0" applyFont="1" applyBorder="1">
      <alignment vertical="center"/>
    </xf>
    <xf numFmtId="5" fontId="11" fillId="28" borderId="0" xfId="0" applyNumberFormat="1" applyFont="1" applyFill="1">
      <alignment vertical="center"/>
    </xf>
    <xf numFmtId="0" fontId="11" fillId="28" borderId="0" xfId="0" applyFont="1" applyFill="1">
      <alignment vertical="center"/>
    </xf>
    <xf numFmtId="49" fontId="11" fillId="0" borderId="0" xfId="0" applyNumberFormat="1" applyFont="1" applyAlignment="1" applyProtection="1">
      <alignment horizontal="right" vertical="center"/>
      <protection locked="0"/>
    </xf>
    <xf numFmtId="202" fontId="11" fillId="0" borderId="0" xfId="0" applyNumberFormat="1" applyFont="1" applyProtection="1">
      <alignment vertical="center"/>
      <protection locked="0"/>
    </xf>
    <xf numFmtId="0" fontId="11" fillId="0" borderId="0" xfId="0" applyNumberFormat="1" applyFont="1" applyProtection="1">
      <alignment vertical="center"/>
      <protection locked="0"/>
    </xf>
    <xf numFmtId="202" fontId="11" fillId="0" borderId="0" xfId="0" applyNumberFormat="1" applyFont="1" applyAlignment="1" applyProtection="1">
      <alignment horizontal="left" vertical="center"/>
      <protection locked="0"/>
    </xf>
    <xf numFmtId="0" fontId="11" fillId="0" borderId="0" xfId="0" applyFont="1" applyProtection="1">
      <alignment vertical="center"/>
      <protection locked="0"/>
    </xf>
    <xf numFmtId="0" fontId="16" fillId="0" borderId="0" xfId="0" applyFont="1" applyAlignment="1" applyProtection="1">
      <alignment horizontal="right" vertical="center"/>
      <protection locked="0"/>
    </xf>
    <xf numFmtId="0" fontId="24" fillId="0" borderId="0" xfId="0" applyFont="1" applyFill="1" applyBorder="1" applyAlignment="1">
      <alignment horizontal="left" vertical="center"/>
    </xf>
    <xf numFmtId="0" fontId="12" fillId="26" borderId="21" xfId="0" applyNumberFormat="1" applyFont="1" applyFill="1" applyBorder="1" applyProtection="1">
      <alignment vertical="center"/>
      <protection locked="0"/>
    </xf>
    <xf numFmtId="0" fontId="12" fillId="26" borderId="20" xfId="0" applyFont="1" applyFill="1" applyBorder="1" applyProtection="1">
      <alignment vertical="center"/>
    </xf>
    <xf numFmtId="0" fontId="12" fillId="26" borderId="20" xfId="0" applyFont="1" applyFill="1" applyBorder="1" applyProtection="1">
      <alignment vertical="center"/>
      <protection locked="0"/>
    </xf>
    <xf numFmtId="49" fontId="12" fillId="26" borderId="20" xfId="0" applyNumberFormat="1" applyFont="1" applyFill="1" applyBorder="1" applyAlignment="1" applyProtection="1">
      <alignment horizontal="right" vertical="center" shrinkToFit="1"/>
      <protection locked="0"/>
    </xf>
    <xf numFmtId="202" fontId="12" fillId="26" borderId="20" xfId="0" applyNumberFormat="1" applyFont="1" applyFill="1" applyBorder="1" applyAlignment="1" applyProtection="1">
      <alignment horizontal="right" vertical="center" shrinkToFit="1"/>
      <protection locked="0"/>
    </xf>
    <xf numFmtId="0" fontId="12" fillId="26" borderId="20" xfId="0" applyNumberFormat="1" applyFont="1" applyFill="1" applyBorder="1" applyAlignment="1" applyProtection="1">
      <alignment horizontal="right" vertical="center" shrinkToFit="1"/>
      <protection locked="0"/>
    </xf>
    <xf numFmtId="202" fontId="12" fillId="26" borderId="20" xfId="0" applyNumberFormat="1" applyFont="1" applyFill="1" applyBorder="1" applyAlignment="1" applyProtection="1">
      <alignment horizontal="left" vertical="center" shrinkToFit="1"/>
      <protection locked="0"/>
    </xf>
    <xf numFmtId="5" fontId="12" fillId="26" borderId="20" xfId="0" applyNumberFormat="1" applyFont="1" applyFill="1" applyBorder="1" applyProtection="1">
      <alignment vertical="center"/>
      <protection locked="0"/>
    </xf>
    <xf numFmtId="0" fontId="12" fillId="26" borderId="20" xfId="0" applyNumberFormat="1" applyFont="1" applyFill="1" applyBorder="1" applyProtection="1">
      <alignment vertical="center"/>
      <protection locked="0"/>
    </xf>
    <xf numFmtId="0" fontId="11" fillId="0" borderId="22" xfId="0" applyNumberFormat="1" applyFont="1" applyFill="1" applyBorder="1" applyProtection="1">
      <alignment vertical="center"/>
      <protection locked="0"/>
    </xf>
    <xf numFmtId="0" fontId="11" fillId="0" borderId="23" xfId="0" applyFont="1" applyFill="1" applyBorder="1" applyProtection="1">
      <alignment vertical="center"/>
    </xf>
    <xf numFmtId="0" fontId="11" fillId="0" borderId="23" xfId="0" applyFont="1" applyFill="1" applyBorder="1" applyProtection="1">
      <alignment vertical="center"/>
      <protection locked="0"/>
    </xf>
    <xf numFmtId="49" fontId="11" fillId="0" borderId="23" xfId="0" applyNumberFormat="1" applyFont="1" applyFill="1" applyBorder="1" applyAlignment="1" applyProtection="1">
      <alignment horizontal="right" vertical="center" shrinkToFit="1"/>
      <protection locked="0"/>
    </xf>
    <xf numFmtId="202" fontId="11" fillId="0" borderId="23" xfId="0" applyNumberFormat="1" applyFont="1" applyFill="1" applyBorder="1" applyAlignment="1" applyProtection="1">
      <alignment horizontal="right" vertical="center" shrinkToFit="1"/>
      <protection locked="0"/>
    </xf>
    <xf numFmtId="0" fontId="11" fillId="0" borderId="23" xfId="0" applyNumberFormat="1" applyFont="1" applyFill="1" applyBorder="1" applyAlignment="1" applyProtection="1">
      <alignment horizontal="right" vertical="center" shrinkToFit="1"/>
      <protection locked="0"/>
    </xf>
    <xf numFmtId="202" fontId="11" fillId="0" borderId="23" xfId="0" applyNumberFormat="1" applyFont="1" applyFill="1" applyBorder="1" applyAlignment="1" applyProtection="1">
      <alignment horizontal="left" vertical="center" shrinkToFit="1"/>
      <protection locked="0"/>
    </xf>
    <xf numFmtId="5" fontId="11" fillId="0" borderId="23" xfId="0" applyNumberFormat="1" applyFont="1" applyFill="1" applyBorder="1" applyProtection="1">
      <alignment vertical="center"/>
      <protection locked="0"/>
    </xf>
    <xf numFmtId="0" fontId="11" fillId="0" borderId="23" xfId="0" applyNumberFormat="1" applyFont="1" applyFill="1" applyBorder="1" applyProtection="1">
      <alignment vertical="center"/>
      <protection locked="0"/>
    </xf>
    <xf numFmtId="0" fontId="11" fillId="0" borderId="0" xfId="0" applyNumberFormat="1" applyFont="1">
      <alignment vertical="center"/>
    </xf>
    <xf numFmtId="0" fontId="11" fillId="0" borderId="0" xfId="0" applyFont="1" applyProtection="1">
      <alignment vertical="center"/>
    </xf>
    <xf numFmtId="0" fontId="11" fillId="0" borderId="0" xfId="0" applyFont="1" applyAlignment="1" applyProtection="1">
      <alignment horizontal="left" vertical="center"/>
      <protection locked="0"/>
    </xf>
    <xf numFmtId="0" fontId="11" fillId="0" borderId="0" xfId="0" applyFont="1" applyBorder="1" applyProtection="1">
      <alignment vertical="center"/>
      <protection locked="0"/>
    </xf>
    <xf numFmtId="0" fontId="11" fillId="0" borderId="0" xfId="0" applyFont="1" applyBorder="1" applyProtection="1">
      <alignment vertical="center"/>
    </xf>
    <xf numFmtId="0" fontId="11" fillId="0" borderId="0" xfId="0" applyFont="1" applyBorder="1" applyAlignment="1" applyProtection="1">
      <alignment horizontal="left" vertical="center"/>
      <protection locked="0"/>
    </xf>
    <xf numFmtId="0" fontId="12" fillId="27" borderId="0" xfId="0" applyFont="1" applyFill="1" applyBorder="1" applyProtection="1">
      <alignment vertical="center"/>
      <protection locked="0"/>
    </xf>
    <xf numFmtId="0" fontId="12" fillId="27" borderId="0" xfId="0" applyFont="1" applyFill="1" applyBorder="1" applyProtection="1">
      <alignment vertical="center"/>
    </xf>
    <xf numFmtId="0" fontId="12" fillId="27" borderId="0" xfId="0" applyFont="1" applyFill="1" applyBorder="1" applyAlignment="1" applyProtection="1">
      <alignment horizontal="left" vertical="center"/>
      <protection locked="0"/>
    </xf>
    <xf numFmtId="5" fontId="12" fillId="27" borderId="0" xfId="0" applyNumberFormat="1" applyFont="1" applyFill="1" applyBorder="1" applyProtection="1">
      <alignment vertical="center"/>
      <protection locked="0"/>
    </xf>
    <xf numFmtId="0" fontId="11" fillId="23" borderId="0" xfId="0" applyFont="1" applyFill="1">
      <alignment vertical="center"/>
    </xf>
    <xf numFmtId="0" fontId="11" fillId="23" borderId="24" xfId="0" applyFont="1" applyFill="1" applyBorder="1" applyProtection="1">
      <alignment vertical="center"/>
      <protection locked="0"/>
    </xf>
    <xf numFmtId="0" fontId="11" fillId="23" borderId="0" xfId="0" applyFont="1" applyFill="1" applyBorder="1" applyProtection="1">
      <alignment vertical="center"/>
    </xf>
    <xf numFmtId="0" fontId="11" fillId="23" borderId="0" xfId="0" applyFont="1" applyFill="1" applyBorder="1" applyAlignment="1" applyProtection="1">
      <alignment horizontal="left" vertical="center"/>
      <protection locked="0"/>
    </xf>
    <xf numFmtId="5" fontId="11" fillId="23" borderId="25" xfId="0" applyNumberFormat="1" applyFont="1" applyFill="1" applyBorder="1" applyProtection="1">
      <alignment vertical="center"/>
      <protection locked="0"/>
    </xf>
    <xf numFmtId="0" fontId="11" fillId="0" borderId="26" xfId="0" applyFont="1" applyBorder="1" applyProtection="1">
      <alignment vertical="center"/>
      <protection locked="0"/>
    </xf>
    <xf numFmtId="0" fontId="11" fillId="0" borderId="27" xfId="0" applyFont="1" applyBorder="1" applyProtection="1">
      <alignment vertical="center"/>
    </xf>
    <xf numFmtId="0" fontId="11" fillId="0" borderId="27" xfId="0" applyFont="1" applyBorder="1" applyAlignment="1" applyProtection="1">
      <alignment horizontal="left" vertical="center"/>
      <protection locked="0"/>
    </xf>
    <xf numFmtId="5" fontId="11" fillId="0" borderId="28" xfId="0" applyNumberFormat="1" applyFont="1" applyBorder="1" applyProtection="1">
      <alignment vertical="center"/>
      <protection locked="0"/>
    </xf>
    <xf numFmtId="0" fontId="11" fillId="23" borderId="0" xfId="0" applyFont="1" applyFill="1" applyBorder="1" applyProtection="1">
      <alignment vertical="center"/>
      <protection locked="0"/>
    </xf>
    <xf numFmtId="49" fontId="11" fillId="0" borderId="0" xfId="0" applyNumberFormat="1" applyFont="1" applyProtection="1">
      <alignment vertical="center"/>
      <protection locked="0"/>
    </xf>
    <xf numFmtId="185" fontId="11" fillId="0" borderId="0" xfId="0" applyNumberFormat="1" applyFont="1" applyProtection="1">
      <alignment vertical="center"/>
      <protection locked="0"/>
    </xf>
    <xf numFmtId="182" fontId="11" fillId="0" borderId="0" xfId="0" applyNumberFormat="1" applyFont="1" applyProtection="1">
      <alignment vertical="center"/>
      <protection locked="0"/>
    </xf>
    <xf numFmtId="182" fontId="11" fillId="0" borderId="0" xfId="0" applyNumberFormat="1" applyFont="1" applyAlignment="1" applyProtection="1">
      <alignment horizontal="right" vertical="center"/>
      <protection locked="0"/>
    </xf>
    <xf numFmtId="5" fontId="11" fillId="0" borderId="0" xfId="0" applyNumberFormat="1" applyFont="1" applyProtection="1">
      <alignment vertical="center"/>
      <protection locked="0"/>
    </xf>
    <xf numFmtId="0" fontId="11" fillId="0" borderId="0" xfId="0" applyNumberFormat="1" applyFont="1" applyAlignment="1" applyProtection="1">
      <alignment horizontal="right" vertical="center"/>
      <protection locked="0"/>
    </xf>
    <xf numFmtId="0" fontId="10" fillId="29" borderId="0" xfId="0" applyFont="1" applyFill="1" applyAlignment="1" applyProtection="1">
      <alignment vertical="center" wrapText="1"/>
      <protection locked="0"/>
    </xf>
    <xf numFmtId="0" fontId="10" fillId="29" borderId="0" xfId="0" applyFont="1" applyFill="1" applyProtection="1">
      <alignment vertical="center"/>
    </xf>
    <xf numFmtId="0" fontId="10" fillId="29" borderId="0" xfId="0" applyFont="1" applyFill="1" applyProtection="1">
      <alignment vertical="center"/>
      <protection locked="0"/>
    </xf>
    <xf numFmtId="49" fontId="10" fillId="29" borderId="0" xfId="0" applyNumberFormat="1" applyFont="1" applyFill="1" applyProtection="1">
      <alignment vertical="center"/>
      <protection locked="0"/>
    </xf>
    <xf numFmtId="185" fontId="10" fillId="29" borderId="0" xfId="0" applyNumberFormat="1" applyFont="1" applyFill="1" applyProtection="1">
      <alignment vertical="center"/>
      <protection locked="0"/>
    </xf>
    <xf numFmtId="0" fontId="10" fillId="29" borderId="0" xfId="0" applyNumberFormat="1" applyFont="1" applyFill="1" applyAlignment="1" applyProtection="1">
      <alignment vertical="center" wrapText="1"/>
      <protection locked="0"/>
    </xf>
    <xf numFmtId="182" fontId="11" fillId="19" borderId="0" xfId="0" applyNumberFormat="1" applyFont="1" applyFill="1" applyAlignment="1" applyProtection="1">
      <alignment vertical="center" wrapText="1"/>
      <protection locked="0"/>
    </xf>
    <xf numFmtId="5" fontId="11" fillId="28" borderId="0" xfId="0" applyNumberFormat="1" applyFont="1" applyFill="1" applyAlignment="1" applyProtection="1">
      <alignment vertical="center" wrapText="1"/>
      <protection locked="0"/>
    </xf>
    <xf numFmtId="182" fontId="11" fillId="28" borderId="0" xfId="0" applyNumberFormat="1" applyFont="1" applyFill="1" applyAlignment="1" applyProtection="1">
      <alignment vertical="center" wrapText="1"/>
      <protection locked="0"/>
    </xf>
    <xf numFmtId="185" fontId="11" fillId="16" borderId="0" xfId="0" applyNumberFormat="1" applyFont="1" applyFill="1" applyAlignment="1" applyProtection="1">
      <alignment vertical="center" wrapText="1"/>
      <protection locked="0"/>
    </xf>
    <xf numFmtId="5" fontId="11" fillId="16" borderId="0" xfId="0" applyNumberFormat="1" applyFont="1" applyFill="1" applyAlignment="1" applyProtection="1">
      <alignment vertical="center" wrapText="1"/>
      <protection locked="0"/>
    </xf>
    <xf numFmtId="0" fontId="11" fillId="0" borderId="0" xfId="0" applyNumberFormat="1" applyFont="1" applyAlignment="1" applyProtection="1">
      <alignment horizontal="right" vertical="center" wrapText="1"/>
      <protection locked="0"/>
    </xf>
    <xf numFmtId="0" fontId="11" fillId="0" borderId="0" xfId="0" applyFont="1" applyAlignment="1" applyProtection="1">
      <alignment horizontal="right" vertical="center"/>
      <protection locked="0"/>
    </xf>
    <xf numFmtId="0" fontId="25" fillId="0" borderId="0" xfId="0" applyFont="1">
      <alignment vertical="center"/>
    </xf>
    <xf numFmtId="49" fontId="26" fillId="0" borderId="0" xfId="0" applyNumberFormat="1" applyFont="1" applyAlignment="1">
      <alignment vertical="center"/>
    </xf>
    <xf numFmtId="0" fontId="11" fillId="2" borderId="3" xfId="0" applyFont="1" applyFill="1" applyBorder="1" applyAlignment="1">
      <alignment horizontal="left" vertical="center"/>
    </xf>
    <xf numFmtId="0" fontId="11" fillId="2" borderId="1" xfId="0" applyFont="1" applyFill="1" applyBorder="1" applyAlignment="1">
      <alignment horizontal="left" vertical="center"/>
    </xf>
    <xf numFmtId="0" fontId="11" fillId="4" borderId="7" xfId="0" applyFont="1" applyFill="1" applyBorder="1" applyAlignment="1">
      <alignment horizontal="left" vertical="center"/>
    </xf>
    <xf numFmtId="0" fontId="11" fillId="3" borderId="0" xfId="0" applyFont="1" applyFill="1" applyBorder="1" applyAlignment="1">
      <alignment horizontal="left" vertical="center"/>
    </xf>
    <xf numFmtId="0" fontId="11" fillId="4" borderId="0" xfId="0" applyFont="1" applyFill="1" applyBorder="1" applyAlignment="1">
      <alignment horizontal="left" vertical="center"/>
    </xf>
    <xf numFmtId="0" fontId="11" fillId="3" borderId="12" xfId="0" applyFont="1" applyFill="1" applyBorder="1" applyAlignment="1">
      <alignment horizontal="left" vertical="center"/>
    </xf>
    <xf numFmtId="184" fontId="6" fillId="0" borderId="0" xfId="0" applyNumberFormat="1" applyFont="1" applyAlignment="1" applyProtection="1">
      <alignment horizontal="left" vertical="center"/>
      <protection locked="0"/>
    </xf>
    <xf numFmtId="0" fontId="11" fillId="15" borderId="6" xfId="0" applyFont="1" applyFill="1" applyBorder="1" applyAlignment="1" applyProtection="1">
      <alignment horizontal="center" vertical="center"/>
      <protection locked="0"/>
    </xf>
    <xf numFmtId="0" fontId="11" fillId="15" borderId="9" xfId="0" applyFont="1" applyFill="1" applyBorder="1" applyAlignment="1" applyProtection="1">
      <alignment horizontal="center" vertical="center"/>
      <protection locked="0"/>
    </xf>
    <xf numFmtId="0" fontId="11" fillId="15" borderId="11"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0" borderId="6" xfId="0" applyFont="1" applyFill="1" applyBorder="1" applyAlignment="1" applyProtection="1">
      <alignment horizontal="center" vertical="center"/>
      <protection locked="0"/>
    </xf>
    <xf numFmtId="0" fontId="11" fillId="20" borderId="7" xfId="0" applyFont="1" applyFill="1" applyBorder="1" applyAlignment="1" applyProtection="1">
      <alignment horizontal="center" vertical="center"/>
      <protection locked="0"/>
    </xf>
    <xf numFmtId="0" fontId="11" fillId="22" borderId="6" xfId="0" applyFont="1" applyFill="1" applyBorder="1" applyAlignment="1" applyProtection="1">
      <alignment horizontal="center" vertical="center"/>
      <protection locked="0"/>
    </xf>
    <xf numFmtId="0" fontId="11" fillId="22" borderId="17" xfId="0" applyFont="1" applyFill="1" applyBorder="1" applyAlignment="1" applyProtection="1">
      <alignment horizontal="center" vertical="center"/>
      <protection locked="0"/>
    </xf>
    <xf numFmtId="0" fontId="11" fillId="23" borderId="14" xfId="0" applyFont="1" applyFill="1" applyBorder="1" applyAlignment="1" applyProtection="1">
      <alignment horizontal="center" vertical="center"/>
      <protection locked="0"/>
    </xf>
    <xf numFmtId="0" fontId="11" fillId="23" borderId="18" xfId="0" applyFont="1" applyFill="1" applyBorder="1" applyAlignment="1" applyProtection="1">
      <alignment horizontal="center" vertical="center"/>
      <protection locked="0"/>
    </xf>
    <xf numFmtId="0" fontId="11" fillId="24" borderId="6" xfId="0" applyFont="1" applyFill="1" applyBorder="1" applyAlignment="1" applyProtection="1">
      <alignment horizontal="center" vertical="center"/>
      <protection locked="0"/>
    </xf>
    <xf numFmtId="0" fontId="11" fillId="24" borderId="7" xfId="0" applyFont="1" applyFill="1" applyBorder="1" applyAlignment="1" applyProtection="1">
      <alignment horizontal="center" vertical="center"/>
      <protection locked="0"/>
    </xf>
    <xf numFmtId="0" fontId="11" fillId="24" borderId="17" xfId="0" applyFont="1" applyFill="1" applyBorder="1" applyAlignment="1" applyProtection="1">
      <alignment horizontal="center" vertical="center"/>
      <protection locked="0"/>
    </xf>
    <xf numFmtId="0" fontId="11" fillId="21" borderId="9" xfId="0" applyFont="1" applyFill="1" applyBorder="1" applyAlignment="1" applyProtection="1">
      <alignment horizontal="center" vertical="center"/>
      <protection locked="0"/>
    </xf>
    <xf numFmtId="0" fontId="11" fillId="21" borderId="11" xfId="0" applyFont="1" applyFill="1" applyBorder="1" applyAlignment="1" applyProtection="1">
      <alignment horizontal="center" vertical="center"/>
      <protection locked="0"/>
    </xf>
    <xf numFmtId="0" fontId="11" fillId="21" borderId="0" xfId="0" applyFont="1" applyFill="1" applyBorder="1" applyAlignment="1" applyProtection="1">
      <alignment horizontal="center" vertical="center"/>
      <protection locked="0"/>
    </xf>
    <xf numFmtId="0" fontId="11" fillId="21" borderId="12" xfId="0" applyFont="1" applyFill="1" applyBorder="1" applyAlignment="1" applyProtection="1">
      <alignment horizontal="center" vertical="center"/>
      <protection locked="0"/>
    </xf>
    <xf numFmtId="0" fontId="11" fillId="21" borderId="0" xfId="0" applyFont="1" applyFill="1" applyBorder="1" applyAlignment="1" applyProtection="1">
      <alignment horizontal="center" vertical="center" wrapText="1"/>
      <protection locked="0"/>
    </xf>
    <xf numFmtId="0" fontId="11" fillId="23" borderId="9" xfId="0" applyFont="1" applyFill="1" applyBorder="1" applyAlignment="1" applyProtection="1">
      <alignment horizontal="center" vertical="center"/>
      <protection locked="0"/>
    </xf>
    <xf numFmtId="0" fontId="11" fillId="23" borderId="11" xfId="0" applyFont="1" applyFill="1" applyBorder="1" applyAlignment="1" applyProtection="1">
      <alignment horizontal="center" vertical="center"/>
      <protection locked="0"/>
    </xf>
    <xf numFmtId="0" fontId="11" fillId="25" borderId="5" xfId="0" applyFont="1" applyFill="1" applyBorder="1" applyAlignment="1" applyProtection="1">
      <alignment horizontal="center" vertical="center" wrapText="1"/>
      <protection locked="0"/>
    </xf>
    <xf numFmtId="0" fontId="11" fillId="25" borderId="10" xfId="0" applyFont="1" applyFill="1" applyBorder="1" applyAlignment="1" applyProtection="1">
      <alignment horizontal="center" vertical="center"/>
      <protection locked="0"/>
    </xf>
    <xf numFmtId="0" fontId="11" fillId="25" borderId="9" xfId="0" applyFont="1" applyFill="1" applyBorder="1" applyAlignment="1" applyProtection="1">
      <alignment horizontal="center" vertical="center"/>
      <protection locked="0"/>
    </xf>
    <xf numFmtId="0" fontId="11" fillId="25" borderId="11" xfId="0" applyFont="1" applyFill="1" applyBorder="1" applyAlignment="1" applyProtection="1">
      <alignment horizontal="center" vertical="center"/>
      <protection locked="0"/>
    </xf>
    <xf numFmtId="0" fontId="11" fillId="25" borderId="0" xfId="0" applyFont="1" applyFill="1" applyBorder="1" applyAlignment="1" applyProtection="1">
      <alignment horizontal="center" vertical="center"/>
      <protection locked="0"/>
    </xf>
    <xf numFmtId="0" fontId="11" fillId="25" borderId="12" xfId="0" applyFont="1" applyFill="1" applyBorder="1" applyAlignment="1" applyProtection="1">
      <alignment horizontal="center" vertical="center"/>
      <protection locked="0"/>
    </xf>
    <xf numFmtId="0" fontId="11" fillId="25" borderId="14" xfId="0" applyFont="1" applyFill="1" applyBorder="1" applyAlignment="1" applyProtection="1">
      <alignment horizontal="center" vertical="center"/>
      <protection locked="0"/>
    </xf>
    <xf numFmtId="0" fontId="11" fillId="25" borderId="18" xfId="0" applyFont="1" applyFill="1" applyBorder="1" applyAlignment="1" applyProtection="1">
      <alignment horizontal="center" vertical="center"/>
      <protection locked="0"/>
    </xf>
    <xf numFmtId="0" fontId="24" fillId="30" borderId="0" xfId="0" applyFont="1" applyFill="1" applyAlignment="1">
      <alignment horizontal="left" vertical="center"/>
    </xf>
    <xf numFmtId="0" fontId="24" fillId="14" borderId="19" xfId="0" applyFont="1" applyFill="1" applyBorder="1" applyAlignment="1">
      <alignment horizontal="left" vertical="center"/>
    </xf>
    <xf numFmtId="0" fontId="8" fillId="32" borderId="0" xfId="0" applyFont="1" applyFill="1" applyAlignment="1">
      <alignment horizontal="left" vertical="center"/>
    </xf>
    <xf numFmtId="0" fontId="8" fillId="35" borderId="0" xfId="0" applyFont="1" applyFill="1" applyAlignment="1">
      <alignment horizontal="left" vertical="center"/>
    </xf>
    <xf numFmtId="0" fontId="27" fillId="0" borderId="0" xfId="0" pivotButton="1" applyFont="1">
      <alignment vertical="center"/>
    </xf>
    <xf numFmtId="10" fontId="27" fillId="0" borderId="0" xfId="0" applyNumberFormat="1" applyFont="1">
      <alignment vertical="center"/>
    </xf>
    <xf numFmtId="0" fontId="27" fillId="0" borderId="0" xfId="0" applyFont="1" applyAlignment="1">
      <alignment horizontal="left" vertical="center"/>
    </xf>
    <xf numFmtId="0" fontId="27" fillId="0" borderId="0" xfId="0" applyFont="1">
      <alignment vertical="center"/>
    </xf>
    <xf numFmtId="5" fontId="27" fillId="0" borderId="0" xfId="0" applyNumberFormat="1" applyFont="1">
      <alignment vertical="center"/>
    </xf>
    <xf numFmtId="0" fontId="27" fillId="0" borderId="0" xfId="0" applyFont="1" applyAlignment="1">
      <alignment horizontal="left" vertical="center" indent="1"/>
    </xf>
    <xf numFmtId="9" fontId="27" fillId="0" borderId="0" xfId="0" applyNumberFormat="1" applyFont="1">
      <alignment vertical="center"/>
    </xf>
    <xf numFmtId="0" fontId="28" fillId="13" borderId="0" xfId="0" applyFont="1" applyFill="1">
      <alignment vertical="center"/>
    </xf>
    <xf numFmtId="0" fontId="27" fillId="23" borderId="0" xfId="0" applyFont="1" applyFill="1">
      <alignment vertical="center"/>
    </xf>
  </cellXfs>
  <cellStyles count="1">
    <cellStyle name="標準" xfId="0" builtinId="0"/>
  </cellStyles>
  <dxfs count="577">
    <dxf>
      <numFmt numFmtId="9" formatCode="&quot;¥&quot;#,##0;&quot;¥&quot;\-#,##0"/>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rgb="FFEBF1DE"/>
        </patternFill>
      </fill>
    </dxf>
    <dxf>
      <fill>
        <patternFill patternType="solid">
          <bgColor rgb="FFEBF1DE"/>
        </patternFill>
      </fill>
    </dxf>
    <dxf>
      <fill>
        <patternFill patternType="solid">
          <bgColor rgb="FFEBF1DE"/>
        </patternFill>
      </fill>
    </dxf>
    <dxf>
      <fill>
        <patternFill>
          <bgColor rgb="FF31869B"/>
        </patternFill>
      </fill>
    </dxf>
    <dxf>
      <fill>
        <patternFill>
          <bgColor rgb="FF31869B"/>
        </patternFill>
      </fill>
    </dxf>
    <dxf>
      <fill>
        <patternFill>
          <bgColor rgb="FF31869B"/>
        </patternFill>
      </fill>
    </dxf>
    <dxf>
      <font>
        <color theme="0"/>
        <family val="3"/>
      </font>
    </dxf>
    <dxf>
      <font>
        <color theme="0"/>
        <family val="3"/>
      </font>
    </dxf>
    <dxf>
      <font>
        <color theme="0"/>
        <family val="3"/>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9" formatCode="&quot;¥&quot;#,##0;&quot;¥&quot;\-#,##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13" formatCode="0%"/>
    </dxf>
    <dxf>
      <numFmt numFmtId="13" formatCode="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numFmt numFmtId="14" formatCode="0.0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14" formatCode="0.0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numFmt numFmtId="14" formatCode="0.0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numFmt numFmtId="14" formatCode="0.0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14" formatCode="0.0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numFmt numFmtId="14" formatCode="0.0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14" formatCode="0.0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color theme="0"/>
        <family val="3"/>
      </font>
    </dxf>
    <dxf>
      <font>
        <color theme="0"/>
        <family val="3"/>
      </font>
    </dxf>
    <dxf>
      <font>
        <color theme="0"/>
        <family val="3"/>
      </font>
    </dxf>
    <dxf>
      <fill>
        <patternFill>
          <bgColor rgb="FF31869B"/>
        </patternFill>
      </fill>
    </dxf>
    <dxf>
      <fill>
        <patternFill>
          <bgColor rgb="FF31869B"/>
        </patternFill>
      </fill>
    </dxf>
    <dxf>
      <fill>
        <patternFill>
          <bgColor rgb="FF31869B"/>
        </patternFill>
      </fill>
    </dxf>
    <dxf>
      <fill>
        <patternFill patternType="solid">
          <bgColor rgb="FFEBF1DE"/>
        </patternFill>
      </fill>
    </dxf>
    <dxf>
      <fill>
        <patternFill patternType="solid">
          <bgColor rgb="FFEBF1DE"/>
        </patternFill>
      </fill>
    </dxf>
    <dxf>
      <fill>
        <patternFill patternType="solid">
          <bgColor rgb="FFEBF1DE"/>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numFmt numFmtId="9" formatCode="&quot;¥&quot;#,##0;&quot;¥&quot;\-#,##0"/>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13" formatCode="0%"/>
    </dxf>
    <dxf>
      <numFmt numFmtId="13" formatCode="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font>
        <name val="Meiryo UI"/>
        <family val="3"/>
        <scheme val="none"/>
      </font>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185" formatCode="General\ &quot;㎡&quot;"/>
    </dxf>
    <dxf>
      <numFmt numFmtId="9" formatCode="&quot;¥&quot;#,##0;&quot;¥&quot;\-#,##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
      <numFmt numFmtId="9" formatCode="&quot;¥&quot;#,##0;&quot;¥&quot;\-#,##0"/>
    </dxf>
  </dxfs>
  <tableStyles count="0" defaultTableStyle="TableStyleMedium2" defaultPivotStyle="PivotStyleLight16"/>
  <colors>
    <mruColors>
      <color rgb="FFF2DCDB"/>
      <color rgb="FFE6B8B7"/>
      <color rgb="FFC0504D"/>
      <color rgb="FFDAEEF3"/>
      <color rgb="FFB7DEE8"/>
      <color rgb="FFB7DFE8"/>
      <color rgb="FFB7DFDE"/>
      <color rgb="FF4BACC6"/>
      <color rgb="FF99CCFF"/>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6.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pivotCacheDefinition" Target="pivotCache/pivotCacheDefinition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pivotCacheDefinition" Target="pivotCache/pivotCacheDefinition7.xml"/><Relationship Id="rId30"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 refreshedDate="43342.095617592589" createdVersion="6" refreshedVersion="6" minRefreshableVersion="3" recordCount="26" xr:uid="{3B956CC2-2BB1-460D-8271-A448ACF25467}">
  <cacheSource type="worksheet">
    <worksheetSource ref="A1:X1048576" sheet="借入金一覧"/>
  </cacheSource>
  <cacheFields count="25">
    <cacheField name="連番" numFmtId="0">
      <sharedItems containsString="0" containsBlank="1" containsNumber="1" containsInteger="1" minValue="101" maxValue="116"/>
    </cacheField>
    <cacheField name="金融機関ID" numFmtId="0">
      <sharedItems containsString="0" containsBlank="1" containsNumber="1" containsInteger="1" minValue="601" maxValue="610"/>
    </cacheField>
    <cacheField name="金融機関名" numFmtId="0">
      <sharedItems containsBlank="1" count="11">
        <s v="スルガ銀行"/>
        <s v="オリックス銀行"/>
        <s v="日本政策金融公庫"/>
        <s v="静岡銀行"/>
        <s v="西武信用金庫"/>
        <s v="千葉銀行"/>
        <s v="三井住友トラストL＆F"/>
        <s v="イオンプロダクトファイナンス"/>
        <s v="巣鴨信金"/>
        <s v="三井住友銀行"/>
        <m/>
      </sharedItems>
    </cacheField>
    <cacheField name="借入支店" numFmtId="0">
      <sharedItems containsBlank="1"/>
    </cacheField>
    <cacheField name="担保ID" numFmtId="0">
      <sharedItems containsString="0" containsBlank="1" containsNumber="1" containsInteger="1" minValue="701" maxValue="704"/>
    </cacheField>
    <cacheField name="担保" numFmtId="0">
      <sharedItems containsBlank="1" count="6">
        <s v="賃貸用不動産"/>
        <s v="修繕割賦"/>
        <s v="住宅ローン"/>
        <s v="無担保"/>
        <m/>
        <s v="不動産" u="1"/>
      </sharedItems>
    </cacheField>
    <cacheField name="物件ID" numFmtId="0">
      <sharedItems containsString="0" containsBlank="1" containsNumber="1" containsInteger="1" minValue="201" maxValue="702"/>
    </cacheField>
    <cacheField name="対応物件" numFmtId="0">
      <sharedItems containsBlank="1" count="19">
        <s v="コアプラス池袋"/>
        <s v="大東京建託アパート池袋"/>
        <s v="大東京建託アパート目白"/>
        <s v="かぼちゃレジデンス池袋"/>
        <s v="かぼちゃレジデンス五反田"/>
        <s v="オープンマンション高田馬場"/>
        <s v="無限レジデンス大塚"/>
        <s v="ＡＤレジデンス池袋"/>
        <s v="かぼちゃタワー101"/>
        <s v="かぼちゃタワー102"/>
        <s v="ブリリア目白201"/>
        <s v="プラウド目白202"/>
        <s v="パークホームズ目白203"/>
        <s v="六本木ヒルズB棟3099"/>
        <s v="無担保"/>
        <m/>
        <e v="#N/A" u="1"/>
        <s v="東京建託アパート池袋" u="1"/>
        <s v="東京建託アパート目白" u="1"/>
      </sharedItems>
    </cacheField>
    <cacheField name="借入主体会社ID" numFmtId="0">
      <sharedItems containsString="0" containsBlank="1" containsNumber="1" containsInteger="1" minValue="401" maxValue="501"/>
    </cacheField>
    <cacheField name="借入主体" numFmtId="0">
      <sharedItems containsBlank="1" count="8">
        <s v="コアプラス・アンド・アーキテクチャーズ株式会社"/>
        <s v="さんためエステート株式会社"/>
        <s v="よんためプロパティ株式会社"/>
        <s v="ごためランド株式会社"/>
        <s v="ろくためアセット株式会社"/>
        <s v="ななためマネジメント株式会社"/>
        <s v="玉川陽介"/>
        <m/>
      </sharedItems>
    </cacheField>
    <cacheField name="当初借入額" numFmtId="0">
      <sharedItems containsString="0" containsBlank="1" containsNumber="1" containsInteger="1" minValue="65000000" maxValue="238000000"/>
    </cacheField>
    <cacheField name="当初借入日" numFmtId="0">
      <sharedItems containsNonDate="0" containsDate="1" containsString="0" containsBlank="1" minDate="2015-10-27T00:00:00" maxDate="2015-11-13T00:00:00"/>
    </cacheField>
    <cacheField name="金利" numFmtId="0">
      <sharedItems containsString="0" containsBlank="1" containsNumber="1" minValue="0.75" maxValue="1.675"/>
    </cacheField>
    <cacheField name="変動固定" numFmtId="0">
      <sharedItems containsBlank="1"/>
    </cacheField>
    <cacheField name="借入期間" numFmtId="0">
      <sharedItems containsString="0" containsBlank="1" containsNumber="1" containsInteger="1" minValue="30" maxValue="30"/>
    </cacheField>
    <cacheField name="残債時点" numFmtId="0">
      <sharedItems containsNonDate="0" containsDate="1" containsString="0" containsBlank="1" minDate="2018-08-20T00:00:00" maxDate="2018-09-01T00:00:00"/>
    </cacheField>
    <cacheField name="元金返済月額" numFmtId="0">
      <sharedItems containsString="0" containsBlank="1" containsNumber="1" containsInteger="1" minValue="164210" maxValue="531822"/>
    </cacheField>
    <cacheField name="利息月額" numFmtId="0">
      <sharedItems containsString="0" containsBlank="1" containsNumber="1" containsInteger="1" minValue="37475" maxValue="309694"/>
    </cacheField>
    <cacheField name="支払月額" numFmtId="0">
      <sharedItems containsString="0" containsBlank="1" containsNumber="1" containsInteger="1" minValue="201685" maxValue="841516"/>
    </cacheField>
    <cacheField name="残債" numFmtId="0">
      <sharedItems containsString="0" containsBlank="1" containsNumber="1" containsInteger="1" minValue="59795821" maxValue="221344306"/>
    </cacheField>
    <cacheField name="残債当初比" numFmtId="0">
      <sharedItems containsString="0" containsBlank="1" containsNumber="1" minValue="0.9199357076923077" maxValue="0.93001809243697475"/>
    </cacheField>
    <cacheField name="保証会社" numFmtId="0">
      <sharedItems containsBlank="1"/>
    </cacheField>
    <cacheField name="返済方法" numFmtId="0">
      <sharedItems containsBlank="1"/>
    </cacheField>
    <cacheField name="解約縛り" numFmtId="0">
      <sharedItems containsBlank="1"/>
    </cacheField>
    <cacheField name="ﾌｨｰﾙﾄﾞ1" numFmtId="0" formula=" (利息月額*12)/残債"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 refreshedDate="43342.095620601853" createdVersion="6" refreshedVersion="6" minRefreshableVersion="3" recordCount="121" xr:uid="{6EB0A53F-CC3D-4C17-A82D-92C96E433024}">
  <cacheSource type="worksheet">
    <worksheetSource ref="A3:P1057" sheet="賃料内訳"/>
  </cacheSource>
  <cacheFields count="16">
    <cacheField name="ID" numFmtId="0">
      <sharedItems containsString="0" containsBlank="1" containsNumber="1" containsInteger="1" minValue="201" maxValue="306" count="15">
        <n v="201"/>
        <n v="202"/>
        <n v="203"/>
        <n v="204"/>
        <n v="205"/>
        <n v="206"/>
        <n v="207"/>
        <n v="208"/>
        <n v="301"/>
        <n v="302"/>
        <n v="303"/>
        <n v="304"/>
        <n v="305"/>
        <n v="306"/>
        <m/>
      </sharedItems>
    </cacheField>
    <cacheField name="物件名" numFmtId="0">
      <sharedItems containsBlank="1" count="17">
        <s v="コアプラス池袋"/>
        <s v="大東京建託アパート池袋"/>
        <s v="大東京建託アパート目白"/>
        <s v="かぼちゃレジデンス池袋"/>
        <s v="かぼちゃレジデンス五反田"/>
        <s v="オープンマンション高田馬場"/>
        <s v="無限レジデンス大塚"/>
        <s v="ＡＤレジデンス池袋"/>
        <s v="かぼちゃタワー101"/>
        <s v="かぼちゃタワー102"/>
        <s v="ブリリア目白201"/>
        <s v="プラウド目白202"/>
        <s v="パークホームズ目白203"/>
        <s v="六本木ヒルズB棟3099"/>
        <m/>
        <s v="東京建託アパート池袋" u="1"/>
        <s v="東京建託アパート目白" u="1"/>
      </sharedItems>
    </cacheField>
    <cacheField name="部屋ID" numFmtId="0">
      <sharedItems containsString="0" containsBlank="1" containsNumber="1" containsInteger="1" minValue="1" maxValue="15"/>
    </cacheField>
    <cacheField name="部屋名" numFmtId="0">
      <sharedItems containsBlank="1" containsMixedTypes="1" containsNumber="1" containsInteger="1" minValue="101" maxValue="302"/>
    </cacheField>
    <cacheField name="平米" numFmtId="0">
      <sharedItems containsBlank="1" containsMixedTypes="1" containsNumber="1" containsInteger="1" minValue="20" maxValue="100"/>
    </cacheField>
    <cacheField name="クラスID" numFmtId="0">
      <sharedItems containsString="0" containsBlank="1" containsNumber="1" containsInteger="1" minValue="801" maxValue="809"/>
    </cacheField>
    <cacheField name="クラス詳細" numFmtId="0">
      <sharedItems containsBlank="1"/>
    </cacheField>
    <cacheField name="クラス大分類" numFmtId="0">
      <sharedItems containsBlank="1" count="6">
        <s v="住居"/>
        <s v="事務所/店舗"/>
        <s v="オペレーショナル"/>
        <s v="その他"/>
        <s v="駐車場"/>
        <m/>
      </sharedItems>
    </cacheField>
    <cacheField name="現賃料" numFmtId="0">
      <sharedItems containsString="0" containsBlank="1" containsNumber="1" containsInteger="1" minValue="0" maxValue="800000"/>
    </cacheField>
    <cacheField name="現共益費" numFmtId="0">
      <sharedItems containsString="0" containsBlank="1" containsNumber="1" containsInteger="1" minValue="0" maxValue="5000"/>
    </cacheField>
    <cacheField name="現消費税" numFmtId="0">
      <sharedItems containsString="0" containsBlank="1" containsNumber="1" containsInteger="1" minValue="0" maxValue="64000"/>
    </cacheField>
    <cacheField name="現況賃料計" numFmtId="0">
      <sharedItems containsString="0" containsBlank="1" containsNumber="1" containsInteger="1" minValue="0" maxValue="864000"/>
    </cacheField>
    <cacheField name="再募集想定額計" numFmtId="0">
      <sharedItems containsString="0" containsBlank="1" containsNumber="1" containsInteger="1" minValue="32400" maxValue="864000"/>
    </cacheField>
    <cacheField name="一時的な空室" numFmtId="0">
      <sharedItems containsString="0" containsBlank="1" containsNumber="1" containsInteger="1" minValue="1" maxValue="1"/>
    </cacheField>
    <cacheField name="募集停止" numFmtId="0">
      <sharedItems containsString="0" containsBlank="1" containsNumber="1" containsInteger="1" minValue="1" maxValue="1"/>
    </cacheField>
    <cacheField name="メモ"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 refreshedDate="43342.095620717591" createdVersion="6" refreshedVersion="6" minRefreshableVersion="3" recordCount="121" xr:uid="{DDA3F30F-7AB8-46C3-831E-1FC28BED26BD}">
  <cacheSource type="worksheet">
    <worksheetSource ref="A3:P1071" sheet="賃料内訳"/>
  </cacheSource>
  <cacheFields count="16">
    <cacheField name="ID" numFmtId="0">
      <sharedItems containsString="0" containsBlank="1" containsNumber="1" containsInteger="1" minValue="201" maxValue="306" count="15">
        <n v="201"/>
        <n v="202"/>
        <n v="203"/>
        <n v="204"/>
        <n v="205"/>
        <n v="206"/>
        <n v="207"/>
        <n v="208"/>
        <n v="301"/>
        <n v="302"/>
        <n v="303"/>
        <n v="304"/>
        <n v="305"/>
        <n v="306"/>
        <m/>
      </sharedItems>
    </cacheField>
    <cacheField name="物件名" numFmtId="0">
      <sharedItems containsBlank="1" count="17">
        <s v="コアプラス池袋"/>
        <s v="大東京建託アパート池袋"/>
        <s v="大東京建託アパート目白"/>
        <s v="かぼちゃレジデンス池袋"/>
        <s v="かぼちゃレジデンス五反田"/>
        <s v="オープンマンション高田馬場"/>
        <s v="無限レジデンス大塚"/>
        <s v="ＡＤレジデンス池袋"/>
        <s v="かぼちゃタワー101"/>
        <s v="かぼちゃタワー102"/>
        <s v="ブリリア目白201"/>
        <s v="プラウド目白202"/>
        <s v="パークホームズ目白203"/>
        <s v="六本木ヒルズB棟3099"/>
        <m/>
        <s v="東京建託アパート池袋" u="1"/>
        <s v="東京建託アパート目白" u="1"/>
      </sharedItems>
    </cacheField>
    <cacheField name="部屋ID" numFmtId="0">
      <sharedItems containsString="0" containsBlank="1" containsNumber="1" containsInteger="1" minValue="1" maxValue="15"/>
    </cacheField>
    <cacheField name="部屋名" numFmtId="0">
      <sharedItems containsBlank="1" containsMixedTypes="1" containsNumber="1" containsInteger="1" minValue="101" maxValue="302"/>
    </cacheField>
    <cacheField name="平米" numFmtId="0">
      <sharedItems containsBlank="1" containsMixedTypes="1" containsNumber="1" containsInteger="1" minValue="20" maxValue="100"/>
    </cacheField>
    <cacheField name="クラスID" numFmtId="0">
      <sharedItems containsString="0" containsBlank="1" containsNumber="1" containsInteger="1" minValue="801" maxValue="809"/>
    </cacheField>
    <cacheField name="クラス詳細" numFmtId="0">
      <sharedItems containsBlank="1"/>
    </cacheField>
    <cacheField name="クラス大分類" numFmtId="0">
      <sharedItems containsBlank="1"/>
    </cacheField>
    <cacheField name="現賃料" numFmtId="0">
      <sharedItems containsString="0" containsBlank="1" containsNumber="1" containsInteger="1" minValue="0" maxValue="800000"/>
    </cacheField>
    <cacheField name="現共益費" numFmtId="0">
      <sharedItems containsString="0" containsBlank="1" containsNumber="1" containsInteger="1" minValue="0" maxValue="5000"/>
    </cacheField>
    <cacheField name="現消費税" numFmtId="0">
      <sharedItems containsString="0" containsBlank="1" containsNumber="1" containsInteger="1" minValue="0" maxValue="64000"/>
    </cacheField>
    <cacheField name="現況賃料計" numFmtId="0">
      <sharedItems containsString="0" containsBlank="1" containsNumber="1" containsInteger="1" minValue="0" maxValue="864000"/>
    </cacheField>
    <cacheField name="再募集想定額計" numFmtId="0">
      <sharedItems containsString="0" containsBlank="1" containsNumber="1" containsInteger="1" minValue="32400" maxValue="864000"/>
    </cacheField>
    <cacheField name="一時的な空室" numFmtId="0">
      <sharedItems containsString="0" containsBlank="1" containsNumber="1" containsInteger="1" minValue="1" maxValue="1"/>
    </cacheField>
    <cacheField name="募集停止" numFmtId="0">
      <sharedItems containsString="0" containsBlank="1" containsNumber="1" containsInteger="1" minValue="1" maxValue="1"/>
    </cacheField>
    <cacheField name="メモ"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 refreshedDate="43342.09562083333" createdVersion="6" refreshedVersion="6" minRefreshableVersion="3" recordCount="37" xr:uid="{15B9B758-6696-41A2-8114-CD7E9A08CA9C}">
  <cacheSource type="worksheet">
    <worksheetSource ref="A2:Z685" sheet="筆一覧と評価額"/>
  </cacheSource>
  <cacheFields count="26">
    <cacheField name="連番" numFmtId="0">
      <sharedItems containsString="0" containsBlank="1" containsNumber="1" containsInteger="1" minValue="1" maxValue="30"/>
    </cacheField>
    <cacheField name="物件ID" numFmtId="0">
      <sharedItems containsString="0" containsBlank="1" containsNumber="1" containsInteger="1" minValue="201" maxValue="306" count="15">
        <n v="201"/>
        <n v="202"/>
        <n v="203"/>
        <n v="204"/>
        <n v="205"/>
        <n v="206"/>
        <n v="207"/>
        <n v="208"/>
        <n v="301"/>
        <n v="302"/>
        <n v="303"/>
        <n v="304"/>
        <n v="305"/>
        <n v="306"/>
        <m/>
      </sharedItems>
    </cacheField>
    <cacheField name="物件名" numFmtId="0">
      <sharedItems containsBlank="1" count="17">
        <s v="コアプラス池袋"/>
        <s v="大東京建託アパート池袋"/>
        <s v="大東京建託アパート目白"/>
        <s v="かぼちゃレジデンス池袋"/>
        <s v="かぼちゃレジデンス五反田"/>
        <s v="オープンマンション高田馬場"/>
        <s v="無限レジデンス大塚"/>
        <s v="ＡＤレジデンス池袋"/>
        <s v="かぼちゃタワー101"/>
        <s v="かぼちゃタワー102"/>
        <s v="ブリリア目白201"/>
        <s v="プラウド目白202"/>
        <s v="パークホームズ目白203"/>
        <s v="六本木ヒルズB棟3099"/>
        <m/>
        <s v="東京建託アパート池袋" u="1"/>
        <s v="東京建託アパート目白" u="1"/>
      </sharedItems>
    </cacheField>
    <cacheField name="クラス" numFmtId="0">
      <sharedItems containsBlank="1" count="3">
        <s v="土地"/>
        <s v="建物"/>
        <m/>
      </sharedItems>
    </cacheField>
    <cacheField name="借地" numFmtId="0">
      <sharedItems containsBlank="1"/>
    </cacheField>
    <cacheField name="地番" numFmtId="0">
      <sharedItems containsBlank="1"/>
    </cacheField>
    <cacheField name="家屋番号" numFmtId="0">
      <sharedItems containsBlank="1"/>
    </cacheField>
    <cacheField name="面積(評価証明)" numFmtId="0">
      <sharedItems containsString="0" containsBlank="1" containsNumber="1" containsInteger="1" minValue="10" maxValue="5000"/>
    </cacheField>
    <cacheField name="区分分子" numFmtId="0">
      <sharedItems containsBlank="1" containsMixedTypes="1" containsNumber="1" containsInteger="1" minValue="123" maxValue="123"/>
    </cacheField>
    <cacheField name="区分分母" numFmtId="0">
      <sharedItems containsBlank="1" containsMixedTypes="1" containsNumber="1" containsInteger="1" minValue="5555" maxValue="5555"/>
    </cacheField>
    <cacheField name="当該資産評価額" numFmtId="0">
      <sharedItems containsString="0" containsBlank="1" containsNumber="1" containsInteger="1" minValue="1000000" maxValue="10000000"/>
    </cacheField>
    <cacheField name="当期固定資産税額" numFmtId="0">
      <sharedItems containsString="0" containsBlank="1" containsNumber="1" containsInteger="1" minValue="1000" maxValue="50000"/>
    </cacheField>
    <cacheField name="当期都市計画税額" numFmtId="0">
      <sharedItems containsString="0" containsBlank="1" containsNumber="1" containsInteger="1" minValue="1000" maxValue="10000"/>
    </cacheField>
    <cacheField name="H30評価証明_x000a_評価額" numFmtId="0">
      <sharedItems containsString="0" containsBlank="1" containsNumber="1" containsInteger="1" minValue="1000000" maxValue="10000000"/>
    </cacheField>
    <cacheField name="H30固定資産税_x000a_課税標準額" numFmtId="0">
      <sharedItems containsString="0" containsBlank="1" containsNumber="1" containsInteger="1" minValue="700000" maxValue="7000000"/>
    </cacheField>
    <cacheField name="H30固定資産_x000a_税額" numFmtId="0">
      <sharedItems containsString="0" containsBlank="1" containsNumber="1" containsInteger="1" minValue="1000" maxValue="50000"/>
    </cacheField>
    <cacheField name="H30都市計画_x000a_税額" numFmtId="0">
      <sharedItems containsString="0" containsBlank="1" containsNumber="1" containsInteger="1" minValue="1000" maxValue="10000"/>
    </cacheField>
    <cacheField name="H29評価証明_x000a_評価額" numFmtId="0">
      <sharedItems containsString="0" containsBlank="1" containsNumber="1" containsInteger="1" minValue="1000000" maxValue="10000000"/>
    </cacheField>
    <cacheField name="H29固定資産税_x000a_課税標準額" numFmtId="0">
      <sharedItems containsString="0" containsBlank="1" containsNumber="1" containsInteger="1" minValue="700000" maxValue="7000000"/>
    </cacheField>
    <cacheField name="H29固定資産_x000a_税額" numFmtId="0">
      <sharedItems containsString="0" containsBlank="1" containsNumber="1" containsInteger="1" minValue="1000" maxValue="50000"/>
    </cacheField>
    <cacheField name="H29都市計画_x000a_税額" numFmtId="0">
      <sharedItems containsString="0" containsBlank="1" containsNumber="1" containsInteger="1" minValue="1000" maxValue="10000"/>
    </cacheField>
    <cacheField name="H28評価証明_x000a_評価額" numFmtId="0">
      <sharedItems containsString="0" containsBlank="1" containsNumber="1" containsInteger="1" minValue="1000000" maxValue="10000000"/>
    </cacheField>
    <cacheField name="H28固定資産税_x000a_課税標準額" numFmtId="0">
      <sharedItems containsString="0" containsBlank="1" containsNumber="1" containsInteger="1" minValue="700000" maxValue="7000000"/>
    </cacheField>
    <cacheField name="H28固定資産_x000a_税額" numFmtId="0">
      <sharedItems containsString="0" containsBlank="1" containsNumber="1" containsInteger="1" minValue="1000" maxValue="50000"/>
    </cacheField>
    <cacheField name="H28都市計画_x000a_税額" numFmtId="0">
      <sharedItems containsString="0" containsBlank="1" containsNumber="1" containsInteger="1" minValue="1000" maxValue="10000"/>
    </cacheField>
    <cacheField name="権利書_x000a_存在確認2017年末"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 refreshedDate="43342.095621064815" createdVersion="6" refreshedVersion="6" minRefreshableVersion="3" recordCount="121" xr:uid="{80F431D1-C0DB-45F1-BAD0-97C144FA67E6}">
  <cacheSource type="worksheet">
    <worksheetSource ref="A3:P1000" sheet="賃料内訳"/>
  </cacheSource>
  <cacheFields count="17">
    <cacheField name="ID" numFmtId="0">
      <sharedItems containsString="0" containsBlank="1" containsNumber="1" containsInteger="1" minValue="201" maxValue="306"/>
    </cacheField>
    <cacheField name="物件名" numFmtId="0">
      <sharedItems containsBlank="1" count="15">
        <s v="コアプラス池袋"/>
        <s v="大東京建託アパート池袋"/>
        <s v="大東京建託アパート目白"/>
        <s v="かぼちゃレジデンス池袋"/>
        <s v="かぼちゃレジデンス五反田"/>
        <s v="オープンマンション高田馬場"/>
        <s v="無限レジデンス大塚"/>
        <s v="ＡＤレジデンス池袋"/>
        <s v="かぼちゃタワー101"/>
        <s v="かぼちゃタワー102"/>
        <s v="ブリリア目白201"/>
        <s v="プラウド目白202"/>
        <s v="パークホームズ目白203"/>
        <s v="六本木ヒルズB棟3099"/>
        <m/>
      </sharedItems>
    </cacheField>
    <cacheField name="部屋ID" numFmtId="0">
      <sharedItems containsString="0" containsBlank="1" containsNumber="1" containsInteger="1" minValue="1" maxValue="15"/>
    </cacheField>
    <cacheField name="部屋名" numFmtId="0">
      <sharedItems containsBlank="1" containsMixedTypes="1" containsNumber="1" containsInteger="1" minValue="101" maxValue="302"/>
    </cacheField>
    <cacheField name="平米" numFmtId="0">
      <sharedItems containsBlank="1" containsMixedTypes="1" containsNumber="1" containsInteger="1" minValue="20" maxValue="100"/>
    </cacheField>
    <cacheField name="クラスID" numFmtId="0">
      <sharedItems containsString="0" containsBlank="1" containsNumber="1" containsInteger="1" minValue="801" maxValue="809"/>
    </cacheField>
    <cacheField name="クラス詳細" numFmtId="0">
      <sharedItems containsBlank="1" count="10">
        <s v="住居"/>
        <s v="倉庫"/>
        <s v="店舗"/>
        <s v="事務所"/>
        <s v="民泊"/>
        <s v="シェアハウス"/>
        <s v="アンテナ"/>
        <s v="駐車場"/>
        <s v="自販機"/>
        <m/>
      </sharedItems>
    </cacheField>
    <cacheField name="クラス大分類" numFmtId="0">
      <sharedItems containsBlank="1"/>
    </cacheField>
    <cacheField name="現賃料" numFmtId="0">
      <sharedItems containsString="0" containsBlank="1" containsNumber="1" containsInteger="1" minValue="0" maxValue="800000"/>
    </cacheField>
    <cacheField name="現共益費" numFmtId="0">
      <sharedItems containsString="0" containsBlank="1" containsNumber="1" containsInteger="1" minValue="0" maxValue="5000"/>
    </cacheField>
    <cacheField name="現消費税" numFmtId="0">
      <sharedItems containsString="0" containsBlank="1" containsNumber="1" containsInteger="1" minValue="0" maxValue="64000"/>
    </cacheField>
    <cacheField name="現況賃料計" numFmtId="0">
      <sharedItems containsString="0" containsBlank="1" containsNumber="1" containsInteger="1" minValue="0" maxValue="864000"/>
    </cacheField>
    <cacheField name="再募集想定額計" numFmtId="0">
      <sharedItems containsString="0" containsBlank="1" containsNumber="1" containsInteger="1" minValue="32400" maxValue="864000"/>
    </cacheField>
    <cacheField name="一時的な空室" numFmtId="0">
      <sharedItems containsString="0" containsBlank="1" containsNumber="1" containsInteger="1" minValue="1" maxValue="1"/>
    </cacheField>
    <cacheField name="募集停止" numFmtId="0">
      <sharedItems containsString="0" containsBlank="1" containsNumber="1" containsInteger="1" minValue="1" maxValue="1"/>
    </cacheField>
    <cacheField name="メモ" numFmtId="0">
      <sharedItems containsBlank="1"/>
    </cacheField>
    <cacheField name="ﾌｨｰﾙﾄﾞ1" numFmtId="0" formula="現況賃料計/再募集想定額計"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 refreshedDate="43342.095623263885" createdVersion="6" refreshedVersion="6" minRefreshableVersion="3" recordCount="121" xr:uid="{7A1BB419-9D87-4058-A3E2-2166560E9CB0}">
  <cacheSource type="worksheet">
    <worksheetSource ref="A3:P1001" sheet="賃料内訳"/>
  </cacheSource>
  <cacheFields count="16">
    <cacheField name="ID" numFmtId="0">
      <sharedItems containsString="0" containsBlank="1" containsNumber="1" containsInteger="1" minValue="201" maxValue="306"/>
    </cacheField>
    <cacheField name="物件名" numFmtId="0">
      <sharedItems containsBlank="1" count="15">
        <s v="コアプラス池袋"/>
        <s v="大東京建託アパート池袋"/>
        <s v="大東京建託アパート目白"/>
        <s v="かぼちゃレジデンス池袋"/>
        <s v="かぼちゃレジデンス五反田"/>
        <s v="オープンマンション高田馬場"/>
        <s v="無限レジデンス大塚"/>
        <s v="ＡＤレジデンス池袋"/>
        <s v="かぼちゃタワー101"/>
        <s v="かぼちゃタワー102"/>
        <s v="ブリリア目白201"/>
        <s v="プラウド目白202"/>
        <s v="パークホームズ目白203"/>
        <s v="六本木ヒルズB棟3099"/>
        <m/>
      </sharedItems>
    </cacheField>
    <cacheField name="部屋ID" numFmtId="0">
      <sharedItems containsString="0" containsBlank="1" containsNumber="1" containsInteger="1" minValue="1" maxValue="15"/>
    </cacheField>
    <cacheField name="部屋名" numFmtId="0">
      <sharedItems containsBlank="1" containsMixedTypes="1" containsNumber="1" containsInteger="1" minValue="101" maxValue="302"/>
    </cacheField>
    <cacheField name="平米" numFmtId="0">
      <sharedItems containsBlank="1" containsMixedTypes="1" containsNumber="1" containsInteger="1" minValue="20" maxValue="100"/>
    </cacheField>
    <cacheField name="クラスID" numFmtId="0">
      <sharedItems containsString="0" containsBlank="1" containsNumber="1" containsInteger="1" minValue="801" maxValue="809"/>
    </cacheField>
    <cacheField name="クラス詳細" numFmtId="0">
      <sharedItems containsBlank="1" count="10">
        <s v="住居"/>
        <s v="倉庫"/>
        <s v="店舗"/>
        <s v="事務所"/>
        <s v="民泊"/>
        <s v="シェアハウス"/>
        <s v="アンテナ"/>
        <s v="駐車場"/>
        <s v="自販機"/>
        <m/>
      </sharedItems>
    </cacheField>
    <cacheField name="クラス大分類" numFmtId="0">
      <sharedItems containsBlank="1"/>
    </cacheField>
    <cacheField name="現賃料" numFmtId="0">
      <sharedItems containsString="0" containsBlank="1" containsNumber="1" containsInteger="1" minValue="0" maxValue="800000"/>
    </cacheField>
    <cacheField name="現共益費" numFmtId="0">
      <sharedItems containsString="0" containsBlank="1" containsNumber="1" containsInteger="1" minValue="0" maxValue="5000"/>
    </cacheField>
    <cacheField name="現消費税" numFmtId="0">
      <sharedItems containsString="0" containsBlank="1" containsNumber="1" containsInteger="1" minValue="0" maxValue="64000"/>
    </cacheField>
    <cacheField name="現況賃料計" numFmtId="0">
      <sharedItems containsString="0" containsBlank="1" containsNumber="1" containsInteger="1" minValue="0" maxValue="864000"/>
    </cacheField>
    <cacheField name="再募集想定額計" numFmtId="0">
      <sharedItems containsString="0" containsBlank="1" containsNumber="1" containsInteger="1" minValue="32400" maxValue="864000"/>
    </cacheField>
    <cacheField name="一時的な空室" numFmtId="0">
      <sharedItems containsString="0" containsBlank="1" containsNumber="1" containsInteger="1" minValue="1" maxValue="1"/>
    </cacheField>
    <cacheField name="募集停止" numFmtId="0">
      <sharedItems containsString="0" containsBlank="1" containsNumber="1" containsInteger="1" minValue="1" maxValue="1"/>
    </cacheField>
    <cacheField name="メモ" numFmtId="0">
      <sharedItems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 refreshedDate="43342.095623958332" createdVersion="6" refreshedVersion="6" minRefreshableVersion="3" recordCount="37" xr:uid="{775C086F-12E4-4E15-A6EA-AFE65AB52FFF}">
  <cacheSource type="worksheet">
    <worksheetSource ref="A2:Q1270" sheet="筆一覧と評価額"/>
  </cacheSource>
  <cacheFields count="17">
    <cacheField name="連番" numFmtId="0">
      <sharedItems containsString="0" containsBlank="1" containsNumber="1" containsInteger="1" minValue="1" maxValue="30"/>
    </cacheField>
    <cacheField name="物件ID" numFmtId="0">
      <sharedItems containsString="0" containsBlank="1" containsNumber="1" containsInteger="1" minValue="201" maxValue="306" count="15">
        <n v="201"/>
        <n v="202"/>
        <n v="203"/>
        <n v="204"/>
        <n v="205"/>
        <n v="206"/>
        <n v="207"/>
        <n v="208"/>
        <n v="301"/>
        <n v="302"/>
        <n v="303"/>
        <n v="304"/>
        <n v="305"/>
        <n v="306"/>
        <m/>
      </sharedItems>
    </cacheField>
    <cacheField name="物件名" numFmtId="0">
      <sharedItems containsBlank="1" count="17">
        <s v="コアプラス池袋"/>
        <s v="大東京建託アパート池袋"/>
        <s v="大東京建託アパート目白"/>
        <s v="かぼちゃレジデンス池袋"/>
        <s v="かぼちゃレジデンス五反田"/>
        <s v="オープンマンション高田馬場"/>
        <s v="無限レジデンス大塚"/>
        <s v="ＡＤレジデンス池袋"/>
        <s v="かぼちゃタワー101"/>
        <s v="かぼちゃタワー102"/>
        <s v="ブリリア目白201"/>
        <s v="プラウド目白202"/>
        <s v="パークホームズ目白203"/>
        <s v="六本木ヒルズB棟3099"/>
        <m/>
        <s v="東京建託アパート池袋" u="1"/>
        <s v="東京建託アパート目白" u="1"/>
      </sharedItems>
    </cacheField>
    <cacheField name="クラス" numFmtId="0">
      <sharedItems containsBlank="1" count="3">
        <s v="土地"/>
        <s v="建物"/>
        <m/>
      </sharedItems>
    </cacheField>
    <cacheField name="借地" numFmtId="0">
      <sharedItems containsBlank="1"/>
    </cacheField>
    <cacheField name="地番" numFmtId="0">
      <sharedItems containsBlank="1"/>
    </cacheField>
    <cacheField name="家屋番号" numFmtId="0">
      <sharedItems containsBlank="1"/>
    </cacheField>
    <cacheField name="面積(評価証明)" numFmtId="0">
      <sharedItems containsString="0" containsBlank="1" containsNumber="1" containsInteger="1" minValue="10" maxValue="5000"/>
    </cacheField>
    <cacheField name="区分分子" numFmtId="0">
      <sharedItems containsBlank="1" containsMixedTypes="1" containsNumber="1" containsInteger="1" minValue="123" maxValue="123"/>
    </cacheField>
    <cacheField name="区分分母" numFmtId="0">
      <sharedItems containsBlank="1" containsMixedTypes="1" containsNumber="1" containsInteger="1" minValue="5555" maxValue="5555"/>
    </cacheField>
    <cacheField name="当該資産評価額" numFmtId="0">
      <sharedItems containsString="0" containsBlank="1" containsNumber="1" containsInteger="1" minValue="1000000" maxValue="10000000"/>
    </cacheField>
    <cacheField name="当期固定資産税額" numFmtId="0">
      <sharedItems containsString="0" containsBlank="1" containsNumber="1" containsInteger="1" minValue="1000" maxValue="50000"/>
    </cacheField>
    <cacheField name="当期都市計画税額" numFmtId="0">
      <sharedItems containsString="0" containsBlank="1" containsNumber="1" containsInteger="1" minValue="1000" maxValue="10000"/>
    </cacheField>
    <cacheField name="H30評価証明_x000a_評価額" numFmtId="0">
      <sharedItems containsString="0" containsBlank="1" containsNumber="1" containsInteger="1" minValue="1000000" maxValue="10000000"/>
    </cacheField>
    <cacheField name="H30固定資産税_x000a_課税標準額" numFmtId="0">
      <sharedItems containsString="0" containsBlank="1" containsNumber="1" containsInteger="1" minValue="700000" maxValue="7000000"/>
    </cacheField>
    <cacheField name="H30固定資産_x000a_税額" numFmtId="0">
      <sharedItems containsString="0" containsBlank="1" containsNumber="1" containsInteger="1" minValue="1000" maxValue="50000"/>
    </cacheField>
    <cacheField name="H30都市計画_x000a_税額" numFmtId="0">
      <sharedItems containsString="0" containsBlank="1" containsNumber="1" containsInteger="1" minValue="1000" maxValue="10000"/>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 refreshedDate="43342.095623958332" createdVersion="6" refreshedVersion="6" minRefreshableVersion="3" recordCount="29" xr:uid="{FDB81F6D-EE53-4B0F-B2BA-66F6F0E61022}">
  <cacheSource type="worksheet">
    <worksheetSource ref="H3:K242" sheet="BM費用集計"/>
  </cacheSource>
  <cacheFields count="4">
    <cacheField name="物件ID" numFmtId="0">
      <sharedItems containsString="0" containsBlank="1" containsNumber="1" containsInteger="1" minValue="201" maxValue="306"/>
    </cacheField>
    <cacheField name="物件名" numFmtId="0">
      <sharedItems containsBlank="1" count="17">
        <s v="コアプラス池袋"/>
        <s v="大東京建託アパート池袋"/>
        <s v="大東京建託アパート目白"/>
        <s v="かぼちゃレジデンス池袋"/>
        <s v="かぼちゃレジデンス五反田"/>
        <s v="オープンマンション高田馬場"/>
        <s v="無限レジデンス大塚"/>
        <s v="ＡＤレジデンス池袋"/>
        <s v="かぼちゃタワー101"/>
        <s v="かぼちゃタワー102"/>
        <s v="ブリリア目白201"/>
        <s v="プラウド目白202"/>
        <s v="パークホームズ目白203"/>
        <s v="六本木ヒルズB棟3099"/>
        <m/>
        <s v="東京建託アパート池袋" u="1"/>
        <s v="東京建託アパート目白" u="1"/>
      </sharedItems>
    </cacheField>
    <cacheField name="種類" numFmtId="0">
      <sharedItems containsBlank="1" count="6">
        <s v="公共料金"/>
        <s v="BM建物管理料"/>
        <s v="管理費"/>
        <s v="修繕積立金"/>
        <m/>
        <s v="建物管理料" u="1"/>
      </sharedItems>
    </cacheField>
    <cacheField name="合計" numFmtId="0">
      <sharedItems containsString="0" containsBlank="1" containsNumber="1" containsInteger="1" minValue="20000" maxValue="3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n v="101"/>
    <n v="601"/>
    <x v="0"/>
    <s v="目白支店"/>
    <n v="701"/>
    <x v="0"/>
    <n v="201"/>
    <x v="0"/>
    <n v="401"/>
    <x v="0"/>
    <n v="238000000"/>
    <d v="2015-10-27T00:00:00"/>
    <n v="1.675"/>
    <s v="変動"/>
    <n v="30"/>
    <d v="2018-08-31T00:00:00"/>
    <n v="531822"/>
    <n v="309694"/>
    <n v="841516"/>
    <n v="221344306"/>
    <n v="0.93001809243697475"/>
    <s v="-"/>
    <s v="元利均等"/>
    <s v="有"/>
  </r>
  <r>
    <n v="102"/>
    <n v="601"/>
    <x v="0"/>
    <s v="目白支店"/>
    <n v="701"/>
    <x v="0"/>
    <n v="202"/>
    <x v="1"/>
    <n v="402"/>
    <x v="1"/>
    <n v="238000000"/>
    <d v="2015-10-27T00:00:00"/>
    <n v="1.675"/>
    <s v="変動"/>
    <n v="30"/>
    <d v="2018-08-31T00:00:00"/>
    <n v="531822"/>
    <n v="309694"/>
    <n v="841516"/>
    <n v="221344306"/>
    <n v="0.93001809243697475"/>
    <s v="-"/>
    <s v="元利均等"/>
    <s v="無"/>
  </r>
  <r>
    <n v="103"/>
    <n v="601"/>
    <x v="0"/>
    <s v="目白支店"/>
    <n v="701"/>
    <x v="0"/>
    <n v="203"/>
    <x v="2"/>
    <n v="403"/>
    <x v="2"/>
    <n v="238000000"/>
    <d v="2015-10-27T00:00:00"/>
    <n v="1.675"/>
    <s v="変動"/>
    <n v="30"/>
    <d v="2018-08-31T00:00:00"/>
    <n v="531822"/>
    <n v="309694"/>
    <n v="841516"/>
    <n v="221344306"/>
    <n v="0.93001809243697475"/>
    <s v="-"/>
    <s v="元利均等"/>
    <s v="無"/>
  </r>
  <r>
    <n v="104"/>
    <n v="602"/>
    <x v="1"/>
    <s v="高田馬場支店"/>
    <n v="701"/>
    <x v="0"/>
    <n v="204"/>
    <x v="3"/>
    <n v="404"/>
    <x v="3"/>
    <n v="238000000"/>
    <d v="2015-10-27T00:00:00"/>
    <n v="1.675"/>
    <s v="変動"/>
    <n v="30"/>
    <d v="2018-08-31T00:00:00"/>
    <n v="531822"/>
    <n v="309694"/>
    <n v="841516"/>
    <n v="221344306"/>
    <n v="0.93001809243697475"/>
    <s v="-"/>
    <s v="元利均等"/>
    <s v="有"/>
  </r>
  <r>
    <n v="105"/>
    <n v="603"/>
    <x v="2"/>
    <s v="池袋支店"/>
    <n v="701"/>
    <x v="0"/>
    <n v="205"/>
    <x v="4"/>
    <n v="402"/>
    <x v="1"/>
    <n v="238000000"/>
    <d v="2015-10-27T00:00:00"/>
    <n v="1.675"/>
    <s v="変動"/>
    <n v="30"/>
    <d v="2018-08-31T00:00:00"/>
    <n v="531822"/>
    <n v="309694"/>
    <n v="841516"/>
    <n v="221344306"/>
    <n v="0.93001809243697475"/>
    <s v="-"/>
    <s v="元利均等"/>
    <s v="有"/>
  </r>
  <r>
    <n v="106"/>
    <n v="604"/>
    <x v="3"/>
    <s v="大塚支店"/>
    <n v="701"/>
    <x v="0"/>
    <n v="206"/>
    <x v="5"/>
    <n v="403"/>
    <x v="2"/>
    <n v="238000000"/>
    <d v="2015-10-27T00:00:00"/>
    <n v="1.675"/>
    <s v="変動"/>
    <n v="30"/>
    <d v="2018-08-20T00:00:00"/>
    <n v="531822"/>
    <n v="309694"/>
    <n v="841516"/>
    <n v="221344306"/>
    <n v="0.93001809243697475"/>
    <s v="-"/>
    <s v="元利均等"/>
    <s v="無"/>
  </r>
  <r>
    <n v="107"/>
    <n v="604"/>
    <x v="3"/>
    <s v="大塚支店"/>
    <n v="701"/>
    <x v="0"/>
    <n v="207"/>
    <x v="6"/>
    <n v="405"/>
    <x v="4"/>
    <n v="238000000"/>
    <d v="2015-10-27T00:00:00"/>
    <n v="1.675"/>
    <s v="変動"/>
    <n v="30"/>
    <d v="2018-08-20T00:00:00"/>
    <n v="531822"/>
    <n v="309694"/>
    <n v="841516"/>
    <n v="221344306"/>
    <n v="0.93001809243697475"/>
    <s v="-"/>
    <s v="元利均等"/>
    <s v="無"/>
  </r>
  <r>
    <n v="108"/>
    <n v="605"/>
    <x v="4"/>
    <s v="巣鴨支店"/>
    <n v="701"/>
    <x v="0"/>
    <n v="208"/>
    <x v="7"/>
    <n v="406"/>
    <x v="5"/>
    <n v="238000000"/>
    <d v="2015-10-27T00:00:00"/>
    <n v="1.675"/>
    <s v="固定10年"/>
    <n v="30"/>
    <d v="2018-08-20T00:00:00"/>
    <n v="531822"/>
    <n v="309694"/>
    <n v="841516"/>
    <n v="221344306"/>
    <n v="0.93001809243697475"/>
    <s v="-"/>
    <s v="元利均等"/>
    <s v="有"/>
  </r>
  <r>
    <n v="109"/>
    <n v="605"/>
    <x v="4"/>
    <s v="巣鴨支店"/>
    <n v="701"/>
    <x v="0"/>
    <n v="301"/>
    <x v="8"/>
    <n v="501"/>
    <x v="6"/>
    <n v="65000000"/>
    <d v="2015-11-12T00:00:00"/>
    <n v="0.75"/>
    <s v="固定10年"/>
    <n v="30"/>
    <d v="2018-08-20T00:00:00"/>
    <n v="164210"/>
    <n v="37475"/>
    <n v="201685"/>
    <n v="59795821"/>
    <n v="0.9199357076923077"/>
    <s v="-"/>
    <s v="元利均等"/>
    <s v="有"/>
  </r>
  <r>
    <n v="110"/>
    <n v="606"/>
    <x v="5"/>
    <s v="東京支店"/>
    <n v="701"/>
    <x v="0"/>
    <n v="302"/>
    <x v="9"/>
    <n v="501"/>
    <x v="6"/>
    <n v="65000000"/>
    <d v="2015-11-12T00:00:00"/>
    <n v="0.75"/>
    <s v="変動"/>
    <n v="30"/>
    <d v="2018-08-20T00:00:00"/>
    <n v="164210"/>
    <n v="37475"/>
    <n v="201685"/>
    <n v="59795821"/>
    <n v="0.9199357076923077"/>
    <s v="-"/>
    <s v="元利均等"/>
    <s v="無"/>
  </r>
  <r>
    <n v="111"/>
    <n v="607"/>
    <x v="6"/>
    <s v="神奈川支店"/>
    <n v="701"/>
    <x v="0"/>
    <n v="303"/>
    <x v="10"/>
    <n v="401"/>
    <x v="0"/>
    <n v="65000000"/>
    <d v="2015-11-12T00:00:00"/>
    <n v="0.75"/>
    <s v="変動"/>
    <n v="30"/>
    <d v="2018-08-31T00:00:00"/>
    <n v="164210"/>
    <n v="37475"/>
    <n v="201685"/>
    <n v="59795821"/>
    <n v="0.9199357076923077"/>
    <s v="-"/>
    <s v="元利均等"/>
    <s v="無"/>
  </r>
  <r>
    <n v="112"/>
    <n v="603"/>
    <x v="2"/>
    <s v="池袋支店"/>
    <n v="701"/>
    <x v="0"/>
    <n v="304"/>
    <x v="11"/>
    <n v="402"/>
    <x v="1"/>
    <n v="65000000"/>
    <d v="2015-11-12T00:00:00"/>
    <n v="0.75"/>
    <s v="変動"/>
    <n v="30"/>
    <d v="2018-08-31T00:00:00"/>
    <n v="164210"/>
    <n v="37475"/>
    <n v="201685"/>
    <n v="59795821"/>
    <n v="0.9199357076923077"/>
    <s v="-"/>
    <s v="元利均等"/>
    <s v="有"/>
  </r>
  <r>
    <n v="113"/>
    <n v="603"/>
    <x v="2"/>
    <s v="池袋支店"/>
    <n v="701"/>
    <x v="0"/>
    <n v="305"/>
    <x v="12"/>
    <n v="403"/>
    <x v="2"/>
    <n v="65000000"/>
    <d v="2015-11-12T00:00:00"/>
    <n v="0.75"/>
    <s v="変動"/>
    <n v="30"/>
    <d v="2018-08-31T00:00:00"/>
    <n v="164210"/>
    <n v="37475"/>
    <n v="201685"/>
    <n v="59795821"/>
    <n v="0.9199357076923077"/>
    <s v="-"/>
    <s v="元利均等"/>
    <s v="有"/>
  </r>
  <r>
    <n v="114"/>
    <n v="608"/>
    <x v="7"/>
    <s v="本店"/>
    <n v="703"/>
    <x v="1"/>
    <n v="208"/>
    <x v="7"/>
    <n v="406"/>
    <x v="5"/>
    <n v="65000000"/>
    <d v="2015-11-12T00:00:00"/>
    <n v="0.75"/>
    <s v="変動"/>
    <n v="30"/>
    <d v="2018-08-31T00:00:00"/>
    <n v="164210"/>
    <n v="37475"/>
    <n v="201685"/>
    <n v="59795821"/>
    <n v="0.9199357076923077"/>
    <s v="-"/>
    <s v="元金均等"/>
    <s v="無"/>
  </r>
  <r>
    <n v="115"/>
    <n v="609"/>
    <x v="8"/>
    <s v="巣鴨支店"/>
    <n v="704"/>
    <x v="2"/>
    <n v="306"/>
    <x v="13"/>
    <n v="501"/>
    <x v="6"/>
    <n v="65000000"/>
    <d v="2015-11-12T00:00:00"/>
    <n v="0.75"/>
    <s v="変動"/>
    <n v="30"/>
    <d v="2018-08-31T00:00:00"/>
    <n v="164210"/>
    <n v="37475"/>
    <n v="201685"/>
    <n v="59795821"/>
    <n v="0.9199357076923077"/>
    <s v="-"/>
    <s v="元利均等"/>
    <s v="無"/>
  </r>
  <r>
    <n v="116"/>
    <n v="610"/>
    <x v="9"/>
    <s v="巣鴨支店"/>
    <n v="702"/>
    <x v="3"/>
    <n v="702"/>
    <x v="14"/>
    <n v="401"/>
    <x v="0"/>
    <n v="65000000"/>
    <d v="2015-11-12T00:00:00"/>
    <n v="0.75"/>
    <s v="変動"/>
    <n v="30"/>
    <d v="2018-08-31T00:00:00"/>
    <n v="164210"/>
    <n v="37475"/>
    <n v="201685"/>
    <n v="59795821"/>
    <n v="0.9199357076923077"/>
    <s v="保証協会"/>
    <s v="元金均等"/>
    <s v="有"/>
  </r>
  <r>
    <m/>
    <m/>
    <x v="10"/>
    <m/>
    <m/>
    <x v="4"/>
    <m/>
    <x v="15"/>
    <m/>
    <x v="7"/>
    <m/>
    <m/>
    <m/>
    <m/>
    <m/>
    <m/>
    <m/>
    <m/>
    <m/>
    <m/>
    <m/>
    <m/>
    <m/>
    <m/>
  </r>
  <r>
    <m/>
    <m/>
    <x v="10"/>
    <m/>
    <m/>
    <x v="4"/>
    <m/>
    <x v="15"/>
    <m/>
    <x v="7"/>
    <m/>
    <m/>
    <m/>
    <m/>
    <m/>
    <m/>
    <m/>
    <m/>
    <m/>
    <m/>
    <m/>
    <m/>
    <m/>
    <m/>
  </r>
  <r>
    <m/>
    <m/>
    <x v="10"/>
    <m/>
    <m/>
    <x v="4"/>
    <m/>
    <x v="15"/>
    <m/>
    <x v="7"/>
    <m/>
    <m/>
    <m/>
    <m/>
    <m/>
    <m/>
    <m/>
    <m/>
    <m/>
    <m/>
    <m/>
    <m/>
    <m/>
    <m/>
  </r>
  <r>
    <m/>
    <m/>
    <x v="10"/>
    <m/>
    <m/>
    <x v="4"/>
    <m/>
    <x v="15"/>
    <m/>
    <x v="7"/>
    <m/>
    <m/>
    <m/>
    <m/>
    <m/>
    <m/>
    <m/>
    <m/>
    <m/>
    <m/>
    <m/>
    <m/>
    <m/>
    <m/>
  </r>
  <r>
    <m/>
    <m/>
    <x v="10"/>
    <m/>
    <m/>
    <x v="4"/>
    <m/>
    <x v="15"/>
    <m/>
    <x v="7"/>
    <m/>
    <m/>
    <m/>
    <m/>
    <m/>
    <m/>
    <m/>
    <m/>
    <m/>
    <m/>
    <m/>
    <m/>
    <m/>
    <m/>
  </r>
  <r>
    <m/>
    <m/>
    <x v="10"/>
    <m/>
    <m/>
    <x v="4"/>
    <m/>
    <x v="15"/>
    <m/>
    <x v="7"/>
    <m/>
    <m/>
    <m/>
    <m/>
    <m/>
    <m/>
    <m/>
    <m/>
    <m/>
    <m/>
    <m/>
    <m/>
    <m/>
    <m/>
  </r>
  <r>
    <m/>
    <m/>
    <x v="10"/>
    <m/>
    <m/>
    <x v="4"/>
    <m/>
    <x v="15"/>
    <m/>
    <x v="7"/>
    <m/>
    <m/>
    <m/>
    <m/>
    <m/>
    <m/>
    <m/>
    <m/>
    <m/>
    <m/>
    <m/>
    <m/>
    <m/>
    <m/>
  </r>
  <r>
    <m/>
    <m/>
    <x v="10"/>
    <m/>
    <m/>
    <x v="4"/>
    <m/>
    <x v="15"/>
    <m/>
    <x v="7"/>
    <m/>
    <m/>
    <m/>
    <m/>
    <m/>
    <m/>
    <m/>
    <m/>
    <m/>
    <m/>
    <m/>
    <m/>
    <m/>
    <m/>
  </r>
  <r>
    <m/>
    <m/>
    <x v="10"/>
    <m/>
    <m/>
    <x v="4"/>
    <m/>
    <x v="15"/>
    <m/>
    <x v="7"/>
    <m/>
    <m/>
    <m/>
    <m/>
    <m/>
    <m/>
    <m/>
    <m/>
    <m/>
    <m/>
    <m/>
    <m/>
    <m/>
    <m/>
  </r>
  <r>
    <m/>
    <m/>
    <x v="10"/>
    <m/>
    <m/>
    <x v="4"/>
    <m/>
    <x v="15"/>
    <m/>
    <x v="7"/>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1">
  <r>
    <x v="0"/>
    <x v="0"/>
    <n v="1"/>
    <n v="101"/>
    <n v="20"/>
    <n v="801"/>
    <s v="住居"/>
    <x v="0"/>
    <n v="50000"/>
    <n v="3000"/>
    <n v="0"/>
    <n v="53000"/>
    <n v="53000"/>
    <m/>
    <m/>
    <m/>
  </r>
  <r>
    <x v="0"/>
    <x v="0"/>
    <n v="2"/>
    <n v="102"/>
    <n v="20"/>
    <n v="801"/>
    <s v="住居"/>
    <x v="0"/>
    <n v="50000"/>
    <n v="3000"/>
    <n v="0"/>
    <n v="53000"/>
    <n v="53000"/>
    <m/>
    <m/>
    <m/>
  </r>
  <r>
    <x v="0"/>
    <x v="0"/>
    <n v="3"/>
    <n v="103"/>
    <n v="20"/>
    <n v="801"/>
    <s v="住居"/>
    <x v="0"/>
    <n v="0"/>
    <n v="0"/>
    <n v="0"/>
    <n v="0"/>
    <n v="60000"/>
    <m/>
    <n v="1"/>
    <s v="オーナー自己使用"/>
  </r>
  <r>
    <x v="0"/>
    <x v="0"/>
    <n v="4"/>
    <n v="201"/>
    <n v="20"/>
    <n v="801"/>
    <s v="住居"/>
    <x v="0"/>
    <n v="0"/>
    <n v="0"/>
    <n v="0"/>
    <n v="0"/>
    <n v="60000"/>
    <n v="1"/>
    <m/>
    <s v="再募集中"/>
  </r>
  <r>
    <x v="0"/>
    <x v="0"/>
    <n v="5"/>
    <n v="202"/>
    <n v="20"/>
    <n v="801"/>
    <s v="住居"/>
    <x v="0"/>
    <n v="50000"/>
    <n v="3000"/>
    <n v="0"/>
    <n v="53000"/>
    <n v="53000"/>
    <m/>
    <m/>
    <m/>
  </r>
  <r>
    <x v="0"/>
    <x v="0"/>
    <n v="6"/>
    <n v="203"/>
    <n v="20"/>
    <n v="807"/>
    <s v="倉庫"/>
    <x v="1"/>
    <n v="50000"/>
    <n v="0"/>
    <n v="4000"/>
    <n v="54000"/>
    <n v="54000"/>
    <m/>
    <m/>
    <m/>
  </r>
  <r>
    <x v="0"/>
    <x v="0"/>
    <n v="7"/>
    <n v="301"/>
    <n v="20"/>
    <n v="803"/>
    <s v="店舗"/>
    <x v="1"/>
    <n v="800000"/>
    <n v="0"/>
    <n v="64000"/>
    <n v="864000"/>
    <n v="864000"/>
    <m/>
    <m/>
    <m/>
  </r>
  <r>
    <x v="0"/>
    <x v="0"/>
    <n v="8"/>
    <n v="302"/>
    <n v="20"/>
    <n v="802"/>
    <s v="事務所"/>
    <x v="1"/>
    <n v="250000"/>
    <n v="0"/>
    <n v="20000"/>
    <n v="270000"/>
    <n v="270000"/>
    <m/>
    <m/>
    <m/>
  </r>
  <r>
    <x v="0"/>
    <x v="0"/>
    <n v="9"/>
    <s v="401"/>
    <n v="20"/>
    <n v="808"/>
    <s v="民泊"/>
    <x v="2"/>
    <n v="52000"/>
    <n v="3000"/>
    <n v="0"/>
    <n v="55000"/>
    <n v="55000"/>
    <m/>
    <m/>
    <m/>
  </r>
  <r>
    <x v="0"/>
    <x v="0"/>
    <n v="10"/>
    <s v="402"/>
    <n v="20"/>
    <n v="809"/>
    <s v="シェアハウス"/>
    <x v="2"/>
    <n v="52000"/>
    <n v="3000"/>
    <n v="0"/>
    <n v="55000"/>
    <n v="55000"/>
    <m/>
    <m/>
    <m/>
  </r>
  <r>
    <x v="0"/>
    <x v="0"/>
    <n v="11"/>
    <s v="RF"/>
    <s v="-"/>
    <n v="805"/>
    <s v="アンテナ"/>
    <x v="3"/>
    <n v="67000"/>
    <n v="3000"/>
    <n v="0"/>
    <n v="70000"/>
    <n v="70000"/>
    <m/>
    <m/>
    <m/>
  </r>
  <r>
    <x v="0"/>
    <x v="0"/>
    <n v="12"/>
    <s v="P1"/>
    <s v="-"/>
    <n v="804"/>
    <s v="駐車場"/>
    <x v="4"/>
    <n v="30000"/>
    <n v="0"/>
    <n v="2400"/>
    <n v="32400"/>
    <n v="32400"/>
    <m/>
    <m/>
    <m/>
  </r>
  <r>
    <x v="0"/>
    <x v="0"/>
    <n v="13"/>
    <s v="P2"/>
    <s v="-"/>
    <n v="804"/>
    <s v="駐車場"/>
    <x v="4"/>
    <n v="30000"/>
    <n v="0"/>
    <n v="2400"/>
    <n v="32400"/>
    <n v="32400"/>
    <m/>
    <m/>
    <m/>
  </r>
  <r>
    <x v="0"/>
    <x v="0"/>
    <n v="14"/>
    <s v="P3"/>
    <s v="-"/>
    <n v="804"/>
    <s v="駐車場"/>
    <x v="4"/>
    <n v="30000"/>
    <n v="0"/>
    <n v="2400"/>
    <n v="32400"/>
    <n v="32400"/>
    <m/>
    <m/>
    <m/>
  </r>
  <r>
    <x v="0"/>
    <x v="0"/>
    <n v="15"/>
    <s v="X1"/>
    <s v="-"/>
    <n v="806"/>
    <s v="自販機"/>
    <x v="3"/>
    <n v="30000"/>
    <n v="0"/>
    <n v="2400"/>
    <n v="32400"/>
    <n v="32400"/>
    <m/>
    <m/>
    <m/>
  </r>
  <r>
    <x v="1"/>
    <x v="1"/>
    <n v="1"/>
    <n v="101"/>
    <n v="20"/>
    <n v="801"/>
    <s v="住居"/>
    <x v="0"/>
    <n v="50000"/>
    <n v="3000"/>
    <n v="0"/>
    <n v="53000"/>
    <n v="53000"/>
    <m/>
    <m/>
    <m/>
  </r>
  <r>
    <x v="1"/>
    <x v="1"/>
    <n v="2"/>
    <n v="102"/>
    <n v="20"/>
    <n v="801"/>
    <s v="住居"/>
    <x v="0"/>
    <n v="50000"/>
    <n v="3000"/>
    <n v="0"/>
    <n v="53000"/>
    <n v="53000"/>
    <m/>
    <m/>
    <m/>
  </r>
  <r>
    <x v="1"/>
    <x v="1"/>
    <n v="3"/>
    <n v="103"/>
    <n v="20"/>
    <n v="801"/>
    <s v="住居"/>
    <x v="0"/>
    <n v="0"/>
    <n v="0"/>
    <n v="0"/>
    <n v="0"/>
    <n v="60000"/>
    <n v="1"/>
    <m/>
    <s v="再募集中"/>
  </r>
  <r>
    <x v="1"/>
    <x v="1"/>
    <n v="4"/>
    <n v="201"/>
    <n v="20"/>
    <n v="801"/>
    <s v="住居"/>
    <x v="0"/>
    <n v="0"/>
    <n v="0"/>
    <n v="0"/>
    <n v="0"/>
    <n v="60000"/>
    <n v="1"/>
    <m/>
    <s v="再募集中"/>
  </r>
  <r>
    <x v="1"/>
    <x v="1"/>
    <n v="5"/>
    <n v="202"/>
    <n v="20"/>
    <n v="801"/>
    <s v="住居"/>
    <x v="0"/>
    <n v="50000"/>
    <n v="3000"/>
    <n v="0"/>
    <n v="53000"/>
    <n v="53000"/>
    <m/>
    <m/>
    <m/>
  </r>
  <r>
    <x v="1"/>
    <x v="1"/>
    <n v="6"/>
    <n v="203"/>
    <n v="20"/>
    <n v="807"/>
    <s v="倉庫"/>
    <x v="1"/>
    <n v="50000"/>
    <n v="0"/>
    <n v="4000"/>
    <n v="54000"/>
    <n v="54000"/>
    <m/>
    <m/>
    <m/>
  </r>
  <r>
    <x v="1"/>
    <x v="1"/>
    <n v="7"/>
    <n v="301"/>
    <n v="20"/>
    <n v="803"/>
    <s v="店舗"/>
    <x v="1"/>
    <n v="800000"/>
    <n v="0"/>
    <n v="64000"/>
    <n v="864000"/>
    <n v="864000"/>
    <m/>
    <m/>
    <m/>
  </r>
  <r>
    <x v="1"/>
    <x v="1"/>
    <n v="8"/>
    <n v="302"/>
    <n v="20"/>
    <n v="802"/>
    <s v="事務所"/>
    <x v="1"/>
    <n v="250000"/>
    <n v="0"/>
    <n v="20000"/>
    <n v="270000"/>
    <n v="270000"/>
    <m/>
    <m/>
    <m/>
  </r>
  <r>
    <x v="1"/>
    <x v="1"/>
    <n v="9"/>
    <s v="401"/>
    <n v="20"/>
    <n v="808"/>
    <s v="民泊"/>
    <x v="2"/>
    <n v="52000"/>
    <n v="3000"/>
    <n v="0"/>
    <n v="55000"/>
    <n v="55000"/>
    <m/>
    <m/>
    <m/>
  </r>
  <r>
    <x v="1"/>
    <x v="1"/>
    <n v="10"/>
    <s v="402"/>
    <n v="20"/>
    <n v="809"/>
    <s v="シェアハウス"/>
    <x v="2"/>
    <n v="52000"/>
    <n v="3000"/>
    <n v="0"/>
    <n v="55000"/>
    <n v="55000"/>
    <m/>
    <m/>
    <m/>
  </r>
  <r>
    <x v="1"/>
    <x v="1"/>
    <n v="11"/>
    <s v="RF"/>
    <s v="-"/>
    <n v="805"/>
    <s v="アンテナ"/>
    <x v="3"/>
    <n v="67000"/>
    <n v="3000"/>
    <n v="0"/>
    <n v="70000"/>
    <n v="70000"/>
    <m/>
    <m/>
    <m/>
  </r>
  <r>
    <x v="1"/>
    <x v="1"/>
    <n v="12"/>
    <s v="P1"/>
    <s v="-"/>
    <n v="804"/>
    <s v="駐車場"/>
    <x v="4"/>
    <n v="30000"/>
    <n v="0"/>
    <n v="2400"/>
    <n v="32400"/>
    <n v="32400"/>
    <m/>
    <m/>
    <m/>
  </r>
  <r>
    <x v="1"/>
    <x v="1"/>
    <n v="13"/>
    <s v="P2"/>
    <s v="-"/>
    <n v="804"/>
    <s v="駐車場"/>
    <x v="4"/>
    <n v="30000"/>
    <n v="0"/>
    <n v="2400"/>
    <n v="32400"/>
    <n v="32400"/>
    <m/>
    <m/>
    <m/>
  </r>
  <r>
    <x v="1"/>
    <x v="1"/>
    <n v="14"/>
    <s v="P3"/>
    <s v="-"/>
    <n v="804"/>
    <s v="駐車場"/>
    <x v="4"/>
    <n v="30000"/>
    <n v="0"/>
    <n v="2400"/>
    <n v="32400"/>
    <n v="32400"/>
    <m/>
    <m/>
    <m/>
  </r>
  <r>
    <x v="2"/>
    <x v="2"/>
    <n v="1"/>
    <n v="101"/>
    <n v="20"/>
    <n v="801"/>
    <s v="住居"/>
    <x v="0"/>
    <n v="50000"/>
    <n v="3000"/>
    <n v="0"/>
    <n v="53000"/>
    <n v="53000"/>
    <m/>
    <m/>
    <m/>
  </r>
  <r>
    <x v="2"/>
    <x v="2"/>
    <n v="2"/>
    <n v="102"/>
    <n v="20"/>
    <n v="801"/>
    <s v="住居"/>
    <x v="0"/>
    <n v="50000"/>
    <n v="3000"/>
    <n v="0"/>
    <n v="53000"/>
    <n v="53000"/>
    <m/>
    <m/>
    <m/>
  </r>
  <r>
    <x v="2"/>
    <x v="2"/>
    <n v="3"/>
    <n v="103"/>
    <n v="20"/>
    <n v="801"/>
    <s v="住居"/>
    <x v="0"/>
    <n v="0"/>
    <n v="0"/>
    <n v="0"/>
    <n v="0"/>
    <n v="60000"/>
    <n v="1"/>
    <m/>
    <s v="再募集中"/>
  </r>
  <r>
    <x v="2"/>
    <x v="2"/>
    <n v="4"/>
    <n v="201"/>
    <n v="20"/>
    <n v="801"/>
    <s v="住居"/>
    <x v="0"/>
    <n v="0"/>
    <n v="0"/>
    <n v="0"/>
    <n v="0"/>
    <n v="60000"/>
    <n v="1"/>
    <m/>
    <s v="再募集中"/>
  </r>
  <r>
    <x v="2"/>
    <x v="2"/>
    <n v="5"/>
    <n v="202"/>
    <n v="20"/>
    <n v="801"/>
    <s v="住居"/>
    <x v="0"/>
    <n v="50000"/>
    <n v="3000"/>
    <n v="0"/>
    <n v="53000"/>
    <n v="53000"/>
    <m/>
    <m/>
    <m/>
  </r>
  <r>
    <x v="2"/>
    <x v="2"/>
    <n v="6"/>
    <n v="203"/>
    <n v="20"/>
    <n v="807"/>
    <s v="倉庫"/>
    <x v="1"/>
    <n v="50000"/>
    <n v="0"/>
    <n v="4000"/>
    <n v="54000"/>
    <n v="54000"/>
    <m/>
    <m/>
    <m/>
  </r>
  <r>
    <x v="2"/>
    <x v="2"/>
    <n v="7"/>
    <n v="301"/>
    <n v="20"/>
    <n v="803"/>
    <s v="店舗"/>
    <x v="1"/>
    <n v="800000"/>
    <n v="0"/>
    <n v="64000"/>
    <n v="864000"/>
    <n v="864000"/>
    <m/>
    <m/>
    <m/>
  </r>
  <r>
    <x v="2"/>
    <x v="2"/>
    <n v="8"/>
    <n v="302"/>
    <n v="20"/>
    <n v="802"/>
    <s v="事務所"/>
    <x v="1"/>
    <n v="250000"/>
    <n v="0"/>
    <n v="20000"/>
    <n v="270000"/>
    <n v="270000"/>
    <m/>
    <m/>
    <m/>
  </r>
  <r>
    <x v="2"/>
    <x v="2"/>
    <n v="9"/>
    <s v="401"/>
    <n v="20"/>
    <n v="808"/>
    <s v="民泊"/>
    <x v="2"/>
    <n v="52000"/>
    <n v="3000"/>
    <n v="0"/>
    <n v="55000"/>
    <n v="55000"/>
    <m/>
    <m/>
    <m/>
  </r>
  <r>
    <x v="2"/>
    <x v="2"/>
    <n v="10"/>
    <s v="402"/>
    <n v="20"/>
    <n v="809"/>
    <s v="シェアハウス"/>
    <x v="2"/>
    <n v="52000"/>
    <n v="3000"/>
    <n v="0"/>
    <n v="55000"/>
    <n v="55000"/>
    <m/>
    <m/>
    <m/>
  </r>
  <r>
    <x v="2"/>
    <x v="2"/>
    <n v="11"/>
    <s v="RF"/>
    <s v="-"/>
    <n v="805"/>
    <s v="アンテナ"/>
    <x v="3"/>
    <n v="67000"/>
    <n v="3000"/>
    <n v="0"/>
    <n v="70000"/>
    <n v="70000"/>
    <m/>
    <m/>
    <m/>
  </r>
  <r>
    <x v="2"/>
    <x v="2"/>
    <n v="12"/>
    <s v="P1"/>
    <s v="-"/>
    <n v="804"/>
    <s v="駐車場"/>
    <x v="4"/>
    <n v="30000"/>
    <n v="0"/>
    <n v="2400"/>
    <n v="32400"/>
    <n v="32400"/>
    <m/>
    <m/>
    <m/>
  </r>
  <r>
    <x v="2"/>
    <x v="2"/>
    <n v="13"/>
    <s v="P2"/>
    <s v="-"/>
    <n v="804"/>
    <s v="駐車場"/>
    <x v="4"/>
    <n v="30000"/>
    <n v="0"/>
    <n v="2400"/>
    <n v="32400"/>
    <n v="32400"/>
    <m/>
    <m/>
    <m/>
  </r>
  <r>
    <x v="2"/>
    <x v="2"/>
    <n v="14"/>
    <s v="P3"/>
    <s v="-"/>
    <n v="804"/>
    <s v="駐車場"/>
    <x v="4"/>
    <n v="30000"/>
    <n v="0"/>
    <n v="2400"/>
    <n v="32400"/>
    <n v="32400"/>
    <m/>
    <m/>
    <m/>
  </r>
  <r>
    <x v="3"/>
    <x v="3"/>
    <n v="1"/>
    <n v="101"/>
    <n v="20"/>
    <n v="801"/>
    <s v="住居"/>
    <x v="0"/>
    <n v="50000"/>
    <n v="3000"/>
    <n v="0"/>
    <n v="53000"/>
    <n v="53000"/>
    <m/>
    <m/>
    <m/>
  </r>
  <r>
    <x v="3"/>
    <x v="3"/>
    <n v="2"/>
    <n v="102"/>
    <n v="20"/>
    <n v="801"/>
    <s v="住居"/>
    <x v="0"/>
    <n v="50000"/>
    <n v="3000"/>
    <n v="0"/>
    <n v="53000"/>
    <n v="53000"/>
    <m/>
    <m/>
    <m/>
  </r>
  <r>
    <x v="3"/>
    <x v="3"/>
    <n v="3"/>
    <n v="103"/>
    <n v="20"/>
    <n v="801"/>
    <s v="住居"/>
    <x v="0"/>
    <n v="0"/>
    <n v="0"/>
    <n v="0"/>
    <n v="0"/>
    <n v="60000"/>
    <n v="1"/>
    <m/>
    <s v="再募集中"/>
  </r>
  <r>
    <x v="3"/>
    <x v="3"/>
    <n v="4"/>
    <n v="201"/>
    <n v="20"/>
    <n v="801"/>
    <s v="住居"/>
    <x v="0"/>
    <n v="0"/>
    <n v="0"/>
    <n v="0"/>
    <n v="0"/>
    <n v="60000"/>
    <n v="1"/>
    <m/>
    <s v="再募集中"/>
  </r>
  <r>
    <x v="3"/>
    <x v="3"/>
    <n v="5"/>
    <n v="202"/>
    <n v="20"/>
    <n v="801"/>
    <s v="住居"/>
    <x v="0"/>
    <n v="50000"/>
    <n v="3000"/>
    <n v="0"/>
    <n v="53000"/>
    <n v="53000"/>
    <m/>
    <m/>
    <m/>
  </r>
  <r>
    <x v="3"/>
    <x v="3"/>
    <n v="6"/>
    <n v="203"/>
    <n v="20"/>
    <n v="807"/>
    <s v="倉庫"/>
    <x v="1"/>
    <n v="50000"/>
    <n v="0"/>
    <n v="4000"/>
    <n v="54000"/>
    <n v="54000"/>
    <m/>
    <m/>
    <m/>
  </r>
  <r>
    <x v="3"/>
    <x v="3"/>
    <n v="7"/>
    <n v="301"/>
    <n v="20"/>
    <n v="803"/>
    <s v="店舗"/>
    <x v="1"/>
    <n v="800000"/>
    <n v="0"/>
    <n v="64000"/>
    <n v="864000"/>
    <n v="864000"/>
    <m/>
    <m/>
    <m/>
  </r>
  <r>
    <x v="3"/>
    <x v="3"/>
    <n v="8"/>
    <n v="302"/>
    <n v="20"/>
    <n v="802"/>
    <s v="事務所"/>
    <x v="1"/>
    <n v="250000"/>
    <n v="0"/>
    <n v="20000"/>
    <n v="270000"/>
    <n v="270000"/>
    <m/>
    <m/>
    <m/>
  </r>
  <r>
    <x v="3"/>
    <x v="3"/>
    <n v="9"/>
    <s v="401"/>
    <n v="20"/>
    <n v="808"/>
    <s v="民泊"/>
    <x v="2"/>
    <n v="52000"/>
    <n v="3000"/>
    <n v="0"/>
    <n v="55000"/>
    <n v="55000"/>
    <m/>
    <m/>
    <m/>
  </r>
  <r>
    <x v="3"/>
    <x v="3"/>
    <n v="10"/>
    <s v="402"/>
    <n v="20"/>
    <n v="809"/>
    <s v="シェアハウス"/>
    <x v="2"/>
    <n v="52000"/>
    <n v="3000"/>
    <n v="0"/>
    <n v="55000"/>
    <n v="55000"/>
    <m/>
    <m/>
    <m/>
  </r>
  <r>
    <x v="3"/>
    <x v="3"/>
    <n v="11"/>
    <s v="RF"/>
    <s v="-"/>
    <n v="805"/>
    <s v="アンテナ"/>
    <x v="3"/>
    <n v="67000"/>
    <n v="3000"/>
    <n v="0"/>
    <n v="70000"/>
    <n v="70000"/>
    <m/>
    <m/>
    <m/>
  </r>
  <r>
    <x v="3"/>
    <x v="3"/>
    <n v="12"/>
    <s v="P1"/>
    <s v="-"/>
    <n v="804"/>
    <s v="駐車場"/>
    <x v="4"/>
    <n v="30000"/>
    <n v="0"/>
    <n v="2400"/>
    <n v="32400"/>
    <n v="32400"/>
    <m/>
    <m/>
    <m/>
  </r>
  <r>
    <x v="3"/>
    <x v="3"/>
    <n v="13"/>
    <s v="P2"/>
    <s v="-"/>
    <n v="804"/>
    <s v="駐車場"/>
    <x v="4"/>
    <n v="30000"/>
    <n v="0"/>
    <n v="2400"/>
    <n v="32400"/>
    <n v="32400"/>
    <m/>
    <m/>
    <m/>
  </r>
  <r>
    <x v="3"/>
    <x v="3"/>
    <n v="14"/>
    <s v="P3"/>
    <s v="-"/>
    <n v="804"/>
    <s v="駐車場"/>
    <x v="4"/>
    <n v="30000"/>
    <n v="0"/>
    <n v="2400"/>
    <n v="32400"/>
    <n v="32400"/>
    <m/>
    <m/>
    <m/>
  </r>
  <r>
    <x v="4"/>
    <x v="4"/>
    <n v="1"/>
    <n v="101"/>
    <n v="20"/>
    <n v="801"/>
    <s v="住居"/>
    <x v="0"/>
    <n v="50000"/>
    <n v="3000"/>
    <n v="0"/>
    <n v="53000"/>
    <n v="53000"/>
    <m/>
    <m/>
    <m/>
  </r>
  <r>
    <x v="4"/>
    <x v="4"/>
    <n v="2"/>
    <n v="102"/>
    <n v="20"/>
    <n v="801"/>
    <s v="住居"/>
    <x v="0"/>
    <n v="50000"/>
    <n v="3000"/>
    <n v="0"/>
    <n v="53000"/>
    <n v="53000"/>
    <m/>
    <m/>
    <m/>
  </r>
  <r>
    <x v="4"/>
    <x v="4"/>
    <n v="3"/>
    <n v="103"/>
    <n v="20"/>
    <n v="801"/>
    <s v="住居"/>
    <x v="0"/>
    <n v="0"/>
    <n v="0"/>
    <n v="0"/>
    <n v="0"/>
    <n v="60000"/>
    <n v="1"/>
    <m/>
    <s v="再募集中"/>
  </r>
  <r>
    <x v="4"/>
    <x v="4"/>
    <n v="4"/>
    <n v="201"/>
    <n v="20"/>
    <n v="801"/>
    <s v="住居"/>
    <x v="0"/>
    <n v="0"/>
    <n v="0"/>
    <n v="0"/>
    <n v="0"/>
    <n v="60000"/>
    <n v="1"/>
    <m/>
    <s v="再募集中"/>
  </r>
  <r>
    <x v="4"/>
    <x v="4"/>
    <n v="5"/>
    <n v="202"/>
    <n v="20"/>
    <n v="801"/>
    <s v="住居"/>
    <x v="0"/>
    <n v="50000"/>
    <n v="3000"/>
    <n v="0"/>
    <n v="53000"/>
    <n v="53000"/>
    <m/>
    <m/>
    <m/>
  </r>
  <r>
    <x v="4"/>
    <x v="4"/>
    <n v="6"/>
    <n v="203"/>
    <n v="20"/>
    <n v="807"/>
    <s v="倉庫"/>
    <x v="1"/>
    <n v="50000"/>
    <n v="0"/>
    <n v="4000"/>
    <n v="54000"/>
    <n v="54000"/>
    <m/>
    <m/>
    <m/>
  </r>
  <r>
    <x v="4"/>
    <x v="4"/>
    <n v="7"/>
    <n v="301"/>
    <n v="20"/>
    <n v="803"/>
    <s v="店舗"/>
    <x v="1"/>
    <n v="800000"/>
    <n v="0"/>
    <n v="64000"/>
    <n v="864000"/>
    <n v="864000"/>
    <m/>
    <m/>
    <m/>
  </r>
  <r>
    <x v="4"/>
    <x v="4"/>
    <n v="8"/>
    <n v="302"/>
    <n v="20"/>
    <n v="802"/>
    <s v="事務所"/>
    <x v="1"/>
    <n v="250000"/>
    <n v="0"/>
    <n v="20000"/>
    <n v="270000"/>
    <n v="270000"/>
    <m/>
    <m/>
    <m/>
  </r>
  <r>
    <x v="4"/>
    <x v="4"/>
    <n v="9"/>
    <s v="401"/>
    <n v="20"/>
    <n v="808"/>
    <s v="民泊"/>
    <x v="2"/>
    <n v="52000"/>
    <n v="3000"/>
    <n v="0"/>
    <n v="55000"/>
    <n v="55000"/>
    <m/>
    <m/>
    <m/>
  </r>
  <r>
    <x v="4"/>
    <x v="4"/>
    <n v="10"/>
    <s v="402"/>
    <n v="20"/>
    <n v="809"/>
    <s v="シェアハウス"/>
    <x v="2"/>
    <n v="52000"/>
    <n v="3000"/>
    <n v="0"/>
    <n v="55000"/>
    <n v="55000"/>
    <m/>
    <m/>
    <m/>
  </r>
  <r>
    <x v="4"/>
    <x v="4"/>
    <n v="11"/>
    <s v="RF"/>
    <s v="-"/>
    <n v="805"/>
    <s v="アンテナ"/>
    <x v="3"/>
    <n v="67000"/>
    <n v="3000"/>
    <n v="0"/>
    <n v="70000"/>
    <n v="70000"/>
    <m/>
    <m/>
    <m/>
  </r>
  <r>
    <x v="4"/>
    <x v="4"/>
    <n v="12"/>
    <s v="P1"/>
    <s v="-"/>
    <n v="804"/>
    <s v="駐車場"/>
    <x v="4"/>
    <n v="30000"/>
    <n v="0"/>
    <n v="2400"/>
    <n v="32400"/>
    <n v="32400"/>
    <m/>
    <m/>
    <m/>
  </r>
  <r>
    <x v="4"/>
    <x v="4"/>
    <n v="13"/>
    <s v="P2"/>
    <s v="-"/>
    <n v="804"/>
    <s v="駐車場"/>
    <x v="4"/>
    <n v="30000"/>
    <n v="0"/>
    <n v="2400"/>
    <n v="32400"/>
    <n v="32400"/>
    <m/>
    <m/>
    <m/>
  </r>
  <r>
    <x v="4"/>
    <x v="4"/>
    <n v="14"/>
    <s v="P3"/>
    <s v="-"/>
    <n v="804"/>
    <s v="駐車場"/>
    <x v="4"/>
    <n v="30000"/>
    <n v="0"/>
    <n v="2400"/>
    <n v="32400"/>
    <n v="32400"/>
    <m/>
    <m/>
    <m/>
  </r>
  <r>
    <x v="5"/>
    <x v="5"/>
    <n v="1"/>
    <n v="101"/>
    <n v="20"/>
    <n v="801"/>
    <s v="住居"/>
    <x v="0"/>
    <n v="50000"/>
    <n v="3000"/>
    <n v="0"/>
    <n v="53000"/>
    <n v="53000"/>
    <m/>
    <m/>
    <m/>
  </r>
  <r>
    <x v="5"/>
    <x v="5"/>
    <n v="2"/>
    <n v="102"/>
    <n v="20"/>
    <n v="801"/>
    <s v="住居"/>
    <x v="0"/>
    <n v="50000"/>
    <n v="3000"/>
    <n v="0"/>
    <n v="53000"/>
    <n v="53000"/>
    <m/>
    <m/>
    <m/>
  </r>
  <r>
    <x v="5"/>
    <x v="5"/>
    <n v="3"/>
    <n v="103"/>
    <n v="20"/>
    <n v="801"/>
    <s v="住居"/>
    <x v="0"/>
    <n v="0"/>
    <n v="0"/>
    <n v="0"/>
    <n v="0"/>
    <n v="60000"/>
    <n v="1"/>
    <m/>
    <s v="再募集中"/>
  </r>
  <r>
    <x v="5"/>
    <x v="5"/>
    <n v="4"/>
    <n v="201"/>
    <n v="20"/>
    <n v="801"/>
    <s v="住居"/>
    <x v="0"/>
    <n v="0"/>
    <n v="0"/>
    <n v="0"/>
    <n v="0"/>
    <n v="60000"/>
    <n v="1"/>
    <m/>
    <s v="再募集中"/>
  </r>
  <r>
    <x v="5"/>
    <x v="5"/>
    <n v="5"/>
    <n v="202"/>
    <n v="20"/>
    <n v="801"/>
    <s v="住居"/>
    <x v="0"/>
    <n v="50000"/>
    <n v="3000"/>
    <n v="0"/>
    <n v="53000"/>
    <n v="53000"/>
    <m/>
    <m/>
    <m/>
  </r>
  <r>
    <x v="5"/>
    <x v="5"/>
    <n v="6"/>
    <n v="203"/>
    <n v="20"/>
    <n v="807"/>
    <s v="倉庫"/>
    <x v="1"/>
    <n v="50000"/>
    <n v="0"/>
    <n v="4000"/>
    <n v="54000"/>
    <n v="54000"/>
    <m/>
    <m/>
    <m/>
  </r>
  <r>
    <x v="5"/>
    <x v="5"/>
    <n v="7"/>
    <n v="301"/>
    <n v="20"/>
    <n v="803"/>
    <s v="店舗"/>
    <x v="1"/>
    <n v="800000"/>
    <n v="0"/>
    <n v="64000"/>
    <n v="864000"/>
    <n v="864000"/>
    <m/>
    <m/>
    <m/>
  </r>
  <r>
    <x v="5"/>
    <x v="5"/>
    <n v="8"/>
    <n v="302"/>
    <n v="20"/>
    <n v="802"/>
    <s v="事務所"/>
    <x v="1"/>
    <n v="250000"/>
    <n v="0"/>
    <n v="20000"/>
    <n v="270000"/>
    <n v="270000"/>
    <m/>
    <m/>
    <m/>
  </r>
  <r>
    <x v="5"/>
    <x v="5"/>
    <n v="9"/>
    <s v="401"/>
    <n v="20"/>
    <n v="808"/>
    <s v="民泊"/>
    <x v="2"/>
    <n v="52000"/>
    <n v="3000"/>
    <n v="0"/>
    <n v="55000"/>
    <n v="55000"/>
    <m/>
    <m/>
    <m/>
  </r>
  <r>
    <x v="5"/>
    <x v="5"/>
    <n v="10"/>
    <s v="402"/>
    <n v="20"/>
    <n v="809"/>
    <s v="シェアハウス"/>
    <x v="2"/>
    <n v="52000"/>
    <n v="3000"/>
    <n v="0"/>
    <n v="55000"/>
    <n v="55000"/>
    <m/>
    <m/>
    <m/>
  </r>
  <r>
    <x v="5"/>
    <x v="5"/>
    <n v="11"/>
    <s v="RF"/>
    <s v="-"/>
    <n v="805"/>
    <s v="アンテナ"/>
    <x v="3"/>
    <n v="67000"/>
    <n v="3000"/>
    <n v="0"/>
    <n v="70000"/>
    <n v="70000"/>
    <m/>
    <m/>
    <m/>
  </r>
  <r>
    <x v="5"/>
    <x v="5"/>
    <n v="12"/>
    <s v="P1"/>
    <s v="-"/>
    <n v="804"/>
    <s v="駐車場"/>
    <x v="4"/>
    <n v="30000"/>
    <n v="0"/>
    <n v="2400"/>
    <n v="32400"/>
    <n v="32400"/>
    <m/>
    <m/>
    <m/>
  </r>
  <r>
    <x v="5"/>
    <x v="5"/>
    <n v="13"/>
    <s v="P2"/>
    <s v="-"/>
    <n v="804"/>
    <s v="駐車場"/>
    <x v="4"/>
    <n v="30000"/>
    <n v="0"/>
    <n v="2400"/>
    <n v="32400"/>
    <n v="32400"/>
    <m/>
    <m/>
    <m/>
  </r>
  <r>
    <x v="5"/>
    <x v="5"/>
    <n v="14"/>
    <s v="P3"/>
    <s v="-"/>
    <n v="804"/>
    <s v="駐車場"/>
    <x v="4"/>
    <n v="30000"/>
    <n v="0"/>
    <n v="2400"/>
    <n v="32400"/>
    <n v="32400"/>
    <m/>
    <m/>
    <m/>
  </r>
  <r>
    <x v="6"/>
    <x v="6"/>
    <n v="1"/>
    <n v="101"/>
    <n v="20"/>
    <n v="801"/>
    <s v="住居"/>
    <x v="0"/>
    <n v="50000"/>
    <n v="3000"/>
    <n v="0"/>
    <n v="53000"/>
    <n v="53000"/>
    <m/>
    <m/>
    <m/>
  </r>
  <r>
    <x v="6"/>
    <x v="6"/>
    <n v="2"/>
    <n v="102"/>
    <n v="20"/>
    <n v="801"/>
    <s v="住居"/>
    <x v="0"/>
    <n v="50000"/>
    <n v="3000"/>
    <n v="0"/>
    <n v="53000"/>
    <n v="53000"/>
    <m/>
    <m/>
    <m/>
  </r>
  <r>
    <x v="6"/>
    <x v="6"/>
    <n v="3"/>
    <n v="103"/>
    <n v="20"/>
    <n v="801"/>
    <s v="住居"/>
    <x v="0"/>
    <n v="0"/>
    <n v="0"/>
    <n v="0"/>
    <n v="0"/>
    <n v="60000"/>
    <n v="1"/>
    <m/>
    <s v="再募集中"/>
  </r>
  <r>
    <x v="6"/>
    <x v="6"/>
    <n v="4"/>
    <n v="201"/>
    <n v="20"/>
    <n v="801"/>
    <s v="住居"/>
    <x v="0"/>
    <n v="0"/>
    <n v="0"/>
    <n v="0"/>
    <n v="0"/>
    <n v="60000"/>
    <n v="1"/>
    <m/>
    <s v="再募集中"/>
  </r>
  <r>
    <x v="6"/>
    <x v="6"/>
    <n v="5"/>
    <n v="202"/>
    <n v="20"/>
    <n v="801"/>
    <s v="住居"/>
    <x v="0"/>
    <n v="50000"/>
    <n v="3000"/>
    <n v="0"/>
    <n v="53000"/>
    <n v="53000"/>
    <m/>
    <m/>
    <m/>
  </r>
  <r>
    <x v="6"/>
    <x v="6"/>
    <n v="6"/>
    <n v="203"/>
    <n v="20"/>
    <n v="807"/>
    <s v="倉庫"/>
    <x v="1"/>
    <n v="50000"/>
    <n v="0"/>
    <n v="4000"/>
    <n v="54000"/>
    <n v="54000"/>
    <m/>
    <m/>
    <m/>
  </r>
  <r>
    <x v="6"/>
    <x v="6"/>
    <n v="7"/>
    <n v="301"/>
    <n v="20"/>
    <n v="803"/>
    <s v="店舗"/>
    <x v="1"/>
    <n v="800000"/>
    <n v="0"/>
    <n v="64000"/>
    <n v="864000"/>
    <n v="864000"/>
    <m/>
    <m/>
    <m/>
  </r>
  <r>
    <x v="6"/>
    <x v="6"/>
    <n v="8"/>
    <n v="302"/>
    <n v="20"/>
    <n v="802"/>
    <s v="事務所"/>
    <x v="1"/>
    <n v="250000"/>
    <n v="0"/>
    <n v="20000"/>
    <n v="270000"/>
    <n v="270000"/>
    <m/>
    <m/>
    <m/>
  </r>
  <r>
    <x v="6"/>
    <x v="6"/>
    <n v="9"/>
    <s v="401"/>
    <n v="20"/>
    <n v="808"/>
    <s v="民泊"/>
    <x v="2"/>
    <n v="52000"/>
    <n v="3000"/>
    <n v="0"/>
    <n v="55000"/>
    <n v="55000"/>
    <m/>
    <m/>
    <m/>
  </r>
  <r>
    <x v="6"/>
    <x v="6"/>
    <n v="10"/>
    <s v="402"/>
    <n v="20"/>
    <n v="809"/>
    <s v="シェアハウス"/>
    <x v="2"/>
    <n v="52000"/>
    <n v="3000"/>
    <n v="0"/>
    <n v="55000"/>
    <n v="55000"/>
    <m/>
    <m/>
    <m/>
  </r>
  <r>
    <x v="6"/>
    <x v="6"/>
    <n v="11"/>
    <s v="RF"/>
    <s v="-"/>
    <n v="805"/>
    <s v="アンテナ"/>
    <x v="3"/>
    <n v="67000"/>
    <n v="3000"/>
    <n v="0"/>
    <n v="70000"/>
    <n v="70000"/>
    <m/>
    <m/>
    <m/>
  </r>
  <r>
    <x v="6"/>
    <x v="6"/>
    <n v="12"/>
    <s v="P1"/>
    <s v="-"/>
    <n v="804"/>
    <s v="駐車場"/>
    <x v="4"/>
    <n v="30000"/>
    <n v="0"/>
    <n v="2400"/>
    <n v="32400"/>
    <n v="32400"/>
    <m/>
    <m/>
    <m/>
  </r>
  <r>
    <x v="6"/>
    <x v="6"/>
    <n v="13"/>
    <s v="P2"/>
    <s v="-"/>
    <n v="804"/>
    <s v="駐車場"/>
    <x v="4"/>
    <n v="30000"/>
    <n v="0"/>
    <n v="2400"/>
    <n v="32400"/>
    <n v="32400"/>
    <m/>
    <m/>
    <m/>
  </r>
  <r>
    <x v="6"/>
    <x v="6"/>
    <n v="14"/>
    <s v="P3"/>
    <s v="-"/>
    <n v="804"/>
    <s v="駐車場"/>
    <x v="4"/>
    <n v="30000"/>
    <n v="0"/>
    <n v="2400"/>
    <n v="32400"/>
    <n v="32400"/>
    <m/>
    <m/>
    <m/>
  </r>
  <r>
    <x v="7"/>
    <x v="7"/>
    <n v="1"/>
    <n v="101"/>
    <n v="20"/>
    <n v="801"/>
    <s v="住居"/>
    <x v="0"/>
    <n v="50000"/>
    <n v="3000"/>
    <n v="0"/>
    <n v="53000"/>
    <n v="53000"/>
    <m/>
    <m/>
    <m/>
  </r>
  <r>
    <x v="7"/>
    <x v="7"/>
    <n v="2"/>
    <n v="102"/>
    <n v="20"/>
    <n v="801"/>
    <s v="住居"/>
    <x v="0"/>
    <n v="50000"/>
    <n v="3000"/>
    <n v="0"/>
    <n v="53000"/>
    <n v="53000"/>
    <m/>
    <m/>
    <m/>
  </r>
  <r>
    <x v="7"/>
    <x v="7"/>
    <n v="3"/>
    <n v="103"/>
    <n v="20"/>
    <n v="801"/>
    <s v="住居"/>
    <x v="0"/>
    <n v="0"/>
    <n v="0"/>
    <n v="0"/>
    <n v="0"/>
    <n v="60000"/>
    <n v="1"/>
    <m/>
    <s v="再募集中"/>
  </r>
  <r>
    <x v="7"/>
    <x v="7"/>
    <n v="4"/>
    <n v="201"/>
    <n v="20"/>
    <n v="801"/>
    <s v="住居"/>
    <x v="0"/>
    <n v="0"/>
    <n v="0"/>
    <n v="0"/>
    <n v="0"/>
    <n v="60000"/>
    <n v="1"/>
    <m/>
    <s v="再募集中"/>
  </r>
  <r>
    <x v="7"/>
    <x v="7"/>
    <n v="5"/>
    <n v="202"/>
    <n v="20"/>
    <n v="801"/>
    <s v="住居"/>
    <x v="0"/>
    <n v="50000"/>
    <n v="3000"/>
    <n v="0"/>
    <n v="53000"/>
    <n v="53000"/>
    <m/>
    <m/>
    <m/>
  </r>
  <r>
    <x v="7"/>
    <x v="7"/>
    <n v="6"/>
    <n v="203"/>
    <n v="20"/>
    <n v="807"/>
    <s v="倉庫"/>
    <x v="1"/>
    <n v="50000"/>
    <n v="0"/>
    <n v="4000"/>
    <n v="54000"/>
    <n v="54000"/>
    <m/>
    <m/>
    <m/>
  </r>
  <r>
    <x v="7"/>
    <x v="7"/>
    <n v="7"/>
    <n v="301"/>
    <n v="20"/>
    <n v="803"/>
    <s v="店舗"/>
    <x v="1"/>
    <n v="800000"/>
    <n v="0"/>
    <n v="64000"/>
    <n v="864000"/>
    <n v="864000"/>
    <m/>
    <m/>
    <m/>
  </r>
  <r>
    <x v="7"/>
    <x v="7"/>
    <n v="8"/>
    <n v="302"/>
    <n v="20"/>
    <n v="802"/>
    <s v="事務所"/>
    <x v="1"/>
    <n v="250000"/>
    <n v="0"/>
    <n v="20000"/>
    <n v="270000"/>
    <n v="270000"/>
    <m/>
    <m/>
    <m/>
  </r>
  <r>
    <x v="7"/>
    <x v="7"/>
    <n v="9"/>
    <s v="401"/>
    <n v="20"/>
    <n v="808"/>
    <s v="民泊"/>
    <x v="2"/>
    <n v="52000"/>
    <n v="3000"/>
    <n v="0"/>
    <n v="55000"/>
    <n v="55000"/>
    <m/>
    <m/>
    <m/>
  </r>
  <r>
    <x v="7"/>
    <x v="7"/>
    <n v="10"/>
    <s v="402"/>
    <n v="20"/>
    <n v="809"/>
    <s v="シェアハウス"/>
    <x v="2"/>
    <n v="52000"/>
    <n v="3000"/>
    <n v="0"/>
    <n v="55000"/>
    <n v="55000"/>
    <m/>
    <m/>
    <m/>
  </r>
  <r>
    <x v="7"/>
    <x v="7"/>
    <n v="11"/>
    <s v="RF"/>
    <s v="-"/>
    <n v="805"/>
    <s v="アンテナ"/>
    <x v="3"/>
    <n v="67000"/>
    <n v="3000"/>
    <n v="0"/>
    <n v="70000"/>
    <n v="70000"/>
    <m/>
    <m/>
    <m/>
  </r>
  <r>
    <x v="7"/>
    <x v="7"/>
    <n v="12"/>
    <s v="P1"/>
    <s v="-"/>
    <n v="804"/>
    <s v="駐車場"/>
    <x v="4"/>
    <n v="30000"/>
    <n v="0"/>
    <n v="2400"/>
    <n v="32400"/>
    <n v="32400"/>
    <m/>
    <m/>
    <m/>
  </r>
  <r>
    <x v="7"/>
    <x v="7"/>
    <n v="13"/>
    <s v="P2"/>
    <s v="-"/>
    <n v="804"/>
    <s v="駐車場"/>
    <x v="4"/>
    <n v="30000"/>
    <n v="0"/>
    <n v="2400"/>
    <n v="32400"/>
    <n v="32400"/>
    <m/>
    <m/>
    <m/>
  </r>
  <r>
    <x v="7"/>
    <x v="7"/>
    <n v="14"/>
    <s v="P3"/>
    <s v="-"/>
    <n v="804"/>
    <s v="駐車場"/>
    <x v="4"/>
    <n v="30000"/>
    <n v="0"/>
    <n v="2400"/>
    <n v="32400"/>
    <n v="32400"/>
    <m/>
    <m/>
    <m/>
  </r>
  <r>
    <x v="8"/>
    <x v="8"/>
    <n v="1"/>
    <n v="101"/>
    <n v="20"/>
    <n v="801"/>
    <s v="住居"/>
    <x v="0"/>
    <n v="300000"/>
    <n v="3000"/>
    <n v="0"/>
    <n v="303000"/>
    <n v="303000"/>
    <m/>
    <m/>
    <m/>
  </r>
  <r>
    <x v="9"/>
    <x v="9"/>
    <n v="1"/>
    <s v="102"/>
    <n v="30"/>
    <n v="801"/>
    <s v="住居"/>
    <x v="0"/>
    <n v="300000"/>
    <n v="5000"/>
    <n v="0"/>
    <n v="305000"/>
    <n v="305000"/>
    <m/>
    <m/>
    <m/>
  </r>
  <r>
    <x v="10"/>
    <x v="10"/>
    <n v="1"/>
    <s v="201"/>
    <n v="35"/>
    <n v="801"/>
    <s v="住居"/>
    <x v="0"/>
    <n v="300000"/>
    <n v="5000"/>
    <n v="0"/>
    <n v="305000"/>
    <n v="305000"/>
    <m/>
    <m/>
    <m/>
  </r>
  <r>
    <x v="11"/>
    <x v="11"/>
    <n v="1"/>
    <s v="202"/>
    <n v="40"/>
    <n v="801"/>
    <s v="住居"/>
    <x v="0"/>
    <n v="300000"/>
    <n v="5000"/>
    <n v="0"/>
    <n v="305000"/>
    <n v="305000"/>
    <m/>
    <m/>
    <m/>
  </r>
  <r>
    <x v="12"/>
    <x v="12"/>
    <n v="1"/>
    <s v="203"/>
    <n v="50"/>
    <n v="801"/>
    <s v="住居"/>
    <x v="0"/>
    <n v="300000"/>
    <n v="5000"/>
    <n v="0"/>
    <n v="305000"/>
    <n v="305000"/>
    <m/>
    <m/>
    <m/>
  </r>
  <r>
    <x v="13"/>
    <x v="13"/>
    <n v="1"/>
    <s v="3099"/>
    <n v="100"/>
    <n v="801"/>
    <s v="住居"/>
    <x v="0"/>
    <n v="0"/>
    <n v="0"/>
    <n v="0"/>
    <n v="0"/>
    <n v="300000"/>
    <m/>
    <n v="1"/>
    <s v="オーナー自己使用"/>
  </r>
  <r>
    <x v="13"/>
    <x v="13"/>
    <n v="1"/>
    <s v="P"/>
    <s v="-"/>
    <n v="804"/>
    <s v="駐車場"/>
    <x v="4"/>
    <n v="0"/>
    <n v="0"/>
    <n v="0"/>
    <n v="0"/>
    <n v="50000"/>
    <m/>
    <n v="1"/>
    <s v="オーナー自己使用"/>
  </r>
  <r>
    <x v="14"/>
    <x v="14"/>
    <m/>
    <m/>
    <m/>
    <m/>
    <m/>
    <x v="5"/>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1">
  <r>
    <x v="0"/>
    <x v="0"/>
    <n v="1"/>
    <n v="101"/>
    <n v="20"/>
    <n v="801"/>
    <s v="住居"/>
    <s v="住居"/>
    <n v="50000"/>
    <n v="3000"/>
    <n v="0"/>
    <n v="53000"/>
    <n v="53000"/>
    <m/>
    <m/>
    <m/>
  </r>
  <r>
    <x v="0"/>
    <x v="0"/>
    <n v="2"/>
    <n v="102"/>
    <n v="20"/>
    <n v="801"/>
    <s v="住居"/>
    <s v="住居"/>
    <n v="50000"/>
    <n v="3000"/>
    <n v="0"/>
    <n v="53000"/>
    <n v="53000"/>
    <m/>
    <m/>
    <m/>
  </r>
  <r>
    <x v="0"/>
    <x v="0"/>
    <n v="3"/>
    <n v="103"/>
    <n v="20"/>
    <n v="801"/>
    <s v="住居"/>
    <s v="住居"/>
    <n v="0"/>
    <n v="0"/>
    <n v="0"/>
    <n v="0"/>
    <n v="60000"/>
    <m/>
    <n v="1"/>
    <s v="オーナー自己使用"/>
  </r>
  <r>
    <x v="0"/>
    <x v="0"/>
    <n v="4"/>
    <n v="201"/>
    <n v="20"/>
    <n v="801"/>
    <s v="住居"/>
    <s v="住居"/>
    <n v="0"/>
    <n v="0"/>
    <n v="0"/>
    <n v="0"/>
    <n v="60000"/>
    <n v="1"/>
    <m/>
    <s v="再募集中"/>
  </r>
  <r>
    <x v="0"/>
    <x v="0"/>
    <n v="5"/>
    <n v="202"/>
    <n v="20"/>
    <n v="801"/>
    <s v="住居"/>
    <s v="住居"/>
    <n v="50000"/>
    <n v="3000"/>
    <n v="0"/>
    <n v="53000"/>
    <n v="53000"/>
    <m/>
    <m/>
    <m/>
  </r>
  <r>
    <x v="0"/>
    <x v="0"/>
    <n v="6"/>
    <n v="203"/>
    <n v="20"/>
    <n v="807"/>
    <s v="倉庫"/>
    <s v="事務所/店舗"/>
    <n v="50000"/>
    <n v="0"/>
    <n v="4000"/>
    <n v="54000"/>
    <n v="54000"/>
    <m/>
    <m/>
    <m/>
  </r>
  <r>
    <x v="0"/>
    <x v="0"/>
    <n v="7"/>
    <n v="301"/>
    <n v="20"/>
    <n v="803"/>
    <s v="店舗"/>
    <s v="事務所/店舗"/>
    <n v="800000"/>
    <n v="0"/>
    <n v="64000"/>
    <n v="864000"/>
    <n v="864000"/>
    <m/>
    <m/>
    <m/>
  </r>
  <r>
    <x v="0"/>
    <x v="0"/>
    <n v="8"/>
    <n v="302"/>
    <n v="20"/>
    <n v="802"/>
    <s v="事務所"/>
    <s v="事務所/店舗"/>
    <n v="250000"/>
    <n v="0"/>
    <n v="20000"/>
    <n v="270000"/>
    <n v="270000"/>
    <m/>
    <m/>
    <m/>
  </r>
  <r>
    <x v="0"/>
    <x v="0"/>
    <n v="9"/>
    <s v="401"/>
    <n v="20"/>
    <n v="808"/>
    <s v="民泊"/>
    <s v="オペレーショナル"/>
    <n v="52000"/>
    <n v="3000"/>
    <n v="0"/>
    <n v="55000"/>
    <n v="55000"/>
    <m/>
    <m/>
    <m/>
  </r>
  <r>
    <x v="0"/>
    <x v="0"/>
    <n v="10"/>
    <s v="402"/>
    <n v="20"/>
    <n v="809"/>
    <s v="シェアハウス"/>
    <s v="オペレーショナル"/>
    <n v="52000"/>
    <n v="3000"/>
    <n v="0"/>
    <n v="55000"/>
    <n v="55000"/>
    <m/>
    <m/>
    <m/>
  </r>
  <r>
    <x v="0"/>
    <x v="0"/>
    <n v="11"/>
    <s v="RF"/>
    <s v="-"/>
    <n v="805"/>
    <s v="アンテナ"/>
    <s v="その他"/>
    <n v="67000"/>
    <n v="3000"/>
    <n v="0"/>
    <n v="70000"/>
    <n v="70000"/>
    <m/>
    <m/>
    <m/>
  </r>
  <r>
    <x v="0"/>
    <x v="0"/>
    <n v="12"/>
    <s v="P1"/>
    <s v="-"/>
    <n v="804"/>
    <s v="駐車場"/>
    <s v="駐車場"/>
    <n v="30000"/>
    <n v="0"/>
    <n v="2400"/>
    <n v="32400"/>
    <n v="32400"/>
    <m/>
    <m/>
    <m/>
  </r>
  <r>
    <x v="0"/>
    <x v="0"/>
    <n v="13"/>
    <s v="P2"/>
    <s v="-"/>
    <n v="804"/>
    <s v="駐車場"/>
    <s v="駐車場"/>
    <n v="30000"/>
    <n v="0"/>
    <n v="2400"/>
    <n v="32400"/>
    <n v="32400"/>
    <m/>
    <m/>
    <m/>
  </r>
  <r>
    <x v="0"/>
    <x v="0"/>
    <n v="14"/>
    <s v="P3"/>
    <s v="-"/>
    <n v="804"/>
    <s v="駐車場"/>
    <s v="駐車場"/>
    <n v="30000"/>
    <n v="0"/>
    <n v="2400"/>
    <n v="32400"/>
    <n v="32400"/>
    <m/>
    <m/>
    <m/>
  </r>
  <r>
    <x v="0"/>
    <x v="0"/>
    <n v="15"/>
    <s v="X1"/>
    <s v="-"/>
    <n v="806"/>
    <s v="自販機"/>
    <s v="その他"/>
    <n v="30000"/>
    <n v="0"/>
    <n v="2400"/>
    <n v="32400"/>
    <n v="32400"/>
    <m/>
    <m/>
    <m/>
  </r>
  <r>
    <x v="1"/>
    <x v="1"/>
    <n v="1"/>
    <n v="101"/>
    <n v="20"/>
    <n v="801"/>
    <s v="住居"/>
    <s v="住居"/>
    <n v="50000"/>
    <n v="3000"/>
    <n v="0"/>
    <n v="53000"/>
    <n v="53000"/>
    <m/>
    <m/>
    <m/>
  </r>
  <r>
    <x v="1"/>
    <x v="1"/>
    <n v="2"/>
    <n v="102"/>
    <n v="20"/>
    <n v="801"/>
    <s v="住居"/>
    <s v="住居"/>
    <n v="50000"/>
    <n v="3000"/>
    <n v="0"/>
    <n v="53000"/>
    <n v="53000"/>
    <m/>
    <m/>
    <m/>
  </r>
  <r>
    <x v="1"/>
    <x v="1"/>
    <n v="3"/>
    <n v="103"/>
    <n v="20"/>
    <n v="801"/>
    <s v="住居"/>
    <s v="住居"/>
    <n v="0"/>
    <n v="0"/>
    <n v="0"/>
    <n v="0"/>
    <n v="60000"/>
    <n v="1"/>
    <m/>
    <s v="再募集中"/>
  </r>
  <r>
    <x v="1"/>
    <x v="1"/>
    <n v="4"/>
    <n v="201"/>
    <n v="20"/>
    <n v="801"/>
    <s v="住居"/>
    <s v="住居"/>
    <n v="0"/>
    <n v="0"/>
    <n v="0"/>
    <n v="0"/>
    <n v="60000"/>
    <n v="1"/>
    <m/>
    <s v="再募集中"/>
  </r>
  <r>
    <x v="1"/>
    <x v="1"/>
    <n v="5"/>
    <n v="202"/>
    <n v="20"/>
    <n v="801"/>
    <s v="住居"/>
    <s v="住居"/>
    <n v="50000"/>
    <n v="3000"/>
    <n v="0"/>
    <n v="53000"/>
    <n v="53000"/>
    <m/>
    <m/>
    <m/>
  </r>
  <r>
    <x v="1"/>
    <x v="1"/>
    <n v="6"/>
    <n v="203"/>
    <n v="20"/>
    <n v="807"/>
    <s v="倉庫"/>
    <s v="事務所/店舗"/>
    <n v="50000"/>
    <n v="0"/>
    <n v="4000"/>
    <n v="54000"/>
    <n v="54000"/>
    <m/>
    <m/>
    <m/>
  </r>
  <r>
    <x v="1"/>
    <x v="1"/>
    <n v="7"/>
    <n v="301"/>
    <n v="20"/>
    <n v="803"/>
    <s v="店舗"/>
    <s v="事務所/店舗"/>
    <n v="800000"/>
    <n v="0"/>
    <n v="64000"/>
    <n v="864000"/>
    <n v="864000"/>
    <m/>
    <m/>
    <m/>
  </r>
  <r>
    <x v="1"/>
    <x v="1"/>
    <n v="8"/>
    <n v="302"/>
    <n v="20"/>
    <n v="802"/>
    <s v="事務所"/>
    <s v="事務所/店舗"/>
    <n v="250000"/>
    <n v="0"/>
    <n v="20000"/>
    <n v="270000"/>
    <n v="270000"/>
    <m/>
    <m/>
    <m/>
  </r>
  <r>
    <x v="1"/>
    <x v="1"/>
    <n v="9"/>
    <s v="401"/>
    <n v="20"/>
    <n v="808"/>
    <s v="民泊"/>
    <s v="オペレーショナル"/>
    <n v="52000"/>
    <n v="3000"/>
    <n v="0"/>
    <n v="55000"/>
    <n v="55000"/>
    <m/>
    <m/>
    <m/>
  </r>
  <r>
    <x v="1"/>
    <x v="1"/>
    <n v="10"/>
    <s v="402"/>
    <n v="20"/>
    <n v="809"/>
    <s v="シェアハウス"/>
    <s v="オペレーショナル"/>
    <n v="52000"/>
    <n v="3000"/>
    <n v="0"/>
    <n v="55000"/>
    <n v="55000"/>
    <m/>
    <m/>
    <m/>
  </r>
  <r>
    <x v="1"/>
    <x v="1"/>
    <n v="11"/>
    <s v="RF"/>
    <s v="-"/>
    <n v="805"/>
    <s v="アンテナ"/>
    <s v="その他"/>
    <n v="67000"/>
    <n v="3000"/>
    <n v="0"/>
    <n v="70000"/>
    <n v="70000"/>
    <m/>
    <m/>
    <m/>
  </r>
  <r>
    <x v="1"/>
    <x v="1"/>
    <n v="12"/>
    <s v="P1"/>
    <s v="-"/>
    <n v="804"/>
    <s v="駐車場"/>
    <s v="駐車場"/>
    <n v="30000"/>
    <n v="0"/>
    <n v="2400"/>
    <n v="32400"/>
    <n v="32400"/>
    <m/>
    <m/>
    <m/>
  </r>
  <r>
    <x v="1"/>
    <x v="1"/>
    <n v="13"/>
    <s v="P2"/>
    <s v="-"/>
    <n v="804"/>
    <s v="駐車場"/>
    <s v="駐車場"/>
    <n v="30000"/>
    <n v="0"/>
    <n v="2400"/>
    <n v="32400"/>
    <n v="32400"/>
    <m/>
    <m/>
    <m/>
  </r>
  <r>
    <x v="1"/>
    <x v="1"/>
    <n v="14"/>
    <s v="P3"/>
    <s v="-"/>
    <n v="804"/>
    <s v="駐車場"/>
    <s v="駐車場"/>
    <n v="30000"/>
    <n v="0"/>
    <n v="2400"/>
    <n v="32400"/>
    <n v="32400"/>
    <m/>
    <m/>
    <m/>
  </r>
  <r>
    <x v="2"/>
    <x v="2"/>
    <n v="1"/>
    <n v="101"/>
    <n v="20"/>
    <n v="801"/>
    <s v="住居"/>
    <s v="住居"/>
    <n v="50000"/>
    <n v="3000"/>
    <n v="0"/>
    <n v="53000"/>
    <n v="53000"/>
    <m/>
    <m/>
    <m/>
  </r>
  <r>
    <x v="2"/>
    <x v="2"/>
    <n v="2"/>
    <n v="102"/>
    <n v="20"/>
    <n v="801"/>
    <s v="住居"/>
    <s v="住居"/>
    <n v="50000"/>
    <n v="3000"/>
    <n v="0"/>
    <n v="53000"/>
    <n v="53000"/>
    <m/>
    <m/>
    <m/>
  </r>
  <r>
    <x v="2"/>
    <x v="2"/>
    <n v="3"/>
    <n v="103"/>
    <n v="20"/>
    <n v="801"/>
    <s v="住居"/>
    <s v="住居"/>
    <n v="0"/>
    <n v="0"/>
    <n v="0"/>
    <n v="0"/>
    <n v="60000"/>
    <n v="1"/>
    <m/>
    <s v="再募集中"/>
  </r>
  <r>
    <x v="2"/>
    <x v="2"/>
    <n v="4"/>
    <n v="201"/>
    <n v="20"/>
    <n v="801"/>
    <s v="住居"/>
    <s v="住居"/>
    <n v="0"/>
    <n v="0"/>
    <n v="0"/>
    <n v="0"/>
    <n v="60000"/>
    <n v="1"/>
    <m/>
    <s v="再募集中"/>
  </r>
  <r>
    <x v="2"/>
    <x v="2"/>
    <n v="5"/>
    <n v="202"/>
    <n v="20"/>
    <n v="801"/>
    <s v="住居"/>
    <s v="住居"/>
    <n v="50000"/>
    <n v="3000"/>
    <n v="0"/>
    <n v="53000"/>
    <n v="53000"/>
    <m/>
    <m/>
    <m/>
  </r>
  <r>
    <x v="2"/>
    <x v="2"/>
    <n v="6"/>
    <n v="203"/>
    <n v="20"/>
    <n v="807"/>
    <s v="倉庫"/>
    <s v="事務所/店舗"/>
    <n v="50000"/>
    <n v="0"/>
    <n v="4000"/>
    <n v="54000"/>
    <n v="54000"/>
    <m/>
    <m/>
    <m/>
  </r>
  <r>
    <x v="2"/>
    <x v="2"/>
    <n v="7"/>
    <n v="301"/>
    <n v="20"/>
    <n v="803"/>
    <s v="店舗"/>
    <s v="事務所/店舗"/>
    <n v="800000"/>
    <n v="0"/>
    <n v="64000"/>
    <n v="864000"/>
    <n v="864000"/>
    <m/>
    <m/>
    <m/>
  </r>
  <r>
    <x v="2"/>
    <x v="2"/>
    <n v="8"/>
    <n v="302"/>
    <n v="20"/>
    <n v="802"/>
    <s v="事務所"/>
    <s v="事務所/店舗"/>
    <n v="250000"/>
    <n v="0"/>
    <n v="20000"/>
    <n v="270000"/>
    <n v="270000"/>
    <m/>
    <m/>
    <m/>
  </r>
  <r>
    <x v="2"/>
    <x v="2"/>
    <n v="9"/>
    <s v="401"/>
    <n v="20"/>
    <n v="808"/>
    <s v="民泊"/>
    <s v="オペレーショナル"/>
    <n v="52000"/>
    <n v="3000"/>
    <n v="0"/>
    <n v="55000"/>
    <n v="55000"/>
    <m/>
    <m/>
    <m/>
  </r>
  <r>
    <x v="2"/>
    <x v="2"/>
    <n v="10"/>
    <s v="402"/>
    <n v="20"/>
    <n v="809"/>
    <s v="シェアハウス"/>
    <s v="オペレーショナル"/>
    <n v="52000"/>
    <n v="3000"/>
    <n v="0"/>
    <n v="55000"/>
    <n v="55000"/>
    <m/>
    <m/>
    <m/>
  </r>
  <r>
    <x v="2"/>
    <x v="2"/>
    <n v="11"/>
    <s v="RF"/>
    <s v="-"/>
    <n v="805"/>
    <s v="アンテナ"/>
    <s v="その他"/>
    <n v="67000"/>
    <n v="3000"/>
    <n v="0"/>
    <n v="70000"/>
    <n v="70000"/>
    <m/>
    <m/>
    <m/>
  </r>
  <r>
    <x v="2"/>
    <x v="2"/>
    <n v="12"/>
    <s v="P1"/>
    <s v="-"/>
    <n v="804"/>
    <s v="駐車場"/>
    <s v="駐車場"/>
    <n v="30000"/>
    <n v="0"/>
    <n v="2400"/>
    <n v="32400"/>
    <n v="32400"/>
    <m/>
    <m/>
    <m/>
  </r>
  <r>
    <x v="2"/>
    <x v="2"/>
    <n v="13"/>
    <s v="P2"/>
    <s v="-"/>
    <n v="804"/>
    <s v="駐車場"/>
    <s v="駐車場"/>
    <n v="30000"/>
    <n v="0"/>
    <n v="2400"/>
    <n v="32400"/>
    <n v="32400"/>
    <m/>
    <m/>
    <m/>
  </r>
  <r>
    <x v="2"/>
    <x v="2"/>
    <n v="14"/>
    <s v="P3"/>
    <s v="-"/>
    <n v="804"/>
    <s v="駐車場"/>
    <s v="駐車場"/>
    <n v="30000"/>
    <n v="0"/>
    <n v="2400"/>
    <n v="32400"/>
    <n v="32400"/>
    <m/>
    <m/>
    <m/>
  </r>
  <r>
    <x v="3"/>
    <x v="3"/>
    <n v="1"/>
    <n v="101"/>
    <n v="20"/>
    <n v="801"/>
    <s v="住居"/>
    <s v="住居"/>
    <n v="50000"/>
    <n v="3000"/>
    <n v="0"/>
    <n v="53000"/>
    <n v="53000"/>
    <m/>
    <m/>
    <m/>
  </r>
  <r>
    <x v="3"/>
    <x v="3"/>
    <n v="2"/>
    <n v="102"/>
    <n v="20"/>
    <n v="801"/>
    <s v="住居"/>
    <s v="住居"/>
    <n v="50000"/>
    <n v="3000"/>
    <n v="0"/>
    <n v="53000"/>
    <n v="53000"/>
    <m/>
    <m/>
    <m/>
  </r>
  <r>
    <x v="3"/>
    <x v="3"/>
    <n v="3"/>
    <n v="103"/>
    <n v="20"/>
    <n v="801"/>
    <s v="住居"/>
    <s v="住居"/>
    <n v="0"/>
    <n v="0"/>
    <n v="0"/>
    <n v="0"/>
    <n v="60000"/>
    <n v="1"/>
    <m/>
    <s v="再募集中"/>
  </r>
  <r>
    <x v="3"/>
    <x v="3"/>
    <n v="4"/>
    <n v="201"/>
    <n v="20"/>
    <n v="801"/>
    <s v="住居"/>
    <s v="住居"/>
    <n v="0"/>
    <n v="0"/>
    <n v="0"/>
    <n v="0"/>
    <n v="60000"/>
    <n v="1"/>
    <m/>
    <s v="再募集中"/>
  </r>
  <r>
    <x v="3"/>
    <x v="3"/>
    <n v="5"/>
    <n v="202"/>
    <n v="20"/>
    <n v="801"/>
    <s v="住居"/>
    <s v="住居"/>
    <n v="50000"/>
    <n v="3000"/>
    <n v="0"/>
    <n v="53000"/>
    <n v="53000"/>
    <m/>
    <m/>
    <m/>
  </r>
  <r>
    <x v="3"/>
    <x v="3"/>
    <n v="6"/>
    <n v="203"/>
    <n v="20"/>
    <n v="807"/>
    <s v="倉庫"/>
    <s v="事務所/店舗"/>
    <n v="50000"/>
    <n v="0"/>
    <n v="4000"/>
    <n v="54000"/>
    <n v="54000"/>
    <m/>
    <m/>
    <m/>
  </r>
  <r>
    <x v="3"/>
    <x v="3"/>
    <n v="7"/>
    <n v="301"/>
    <n v="20"/>
    <n v="803"/>
    <s v="店舗"/>
    <s v="事務所/店舗"/>
    <n v="800000"/>
    <n v="0"/>
    <n v="64000"/>
    <n v="864000"/>
    <n v="864000"/>
    <m/>
    <m/>
    <m/>
  </r>
  <r>
    <x v="3"/>
    <x v="3"/>
    <n v="8"/>
    <n v="302"/>
    <n v="20"/>
    <n v="802"/>
    <s v="事務所"/>
    <s v="事務所/店舗"/>
    <n v="250000"/>
    <n v="0"/>
    <n v="20000"/>
    <n v="270000"/>
    <n v="270000"/>
    <m/>
    <m/>
    <m/>
  </r>
  <r>
    <x v="3"/>
    <x v="3"/>
    <n v="9"/>
    <s v="401"/>
    <n v="20"/>
    <n v="808"/>
    <s v="民泊"/>
    <s v="オペレーショナル"/>
    <n v="52000"/>
    <n v="3000"/>
    <n v="0"/>
    <n v="55000"/>
    <n v="55000"/>
    <m/>
    <m/>
    <m/>
  </r>
  <r>
    <x v="3"/>
    <x v="3"/>
    <n v="10"/>
    <s v="402"/>
    <n v="20"/>
    <n v="809"/>
    <s v="シェアハウス"/>
    <s v="オペレーショナル"/>
    <n v="52000"/>
    <n v="3000"/>
    <n v="0"/>
    <n v="55000"/>
    <n v="55000"/>
    <m/>
    <m/>
    <m/>
  </r>
  <r>
    <x v="3"/>
    <x v="3"/>
    <n v="11"/>
    <s v="RF"/>
    <s v="-"/>
    <n v="805"/>
    <s v="アンテナ"/>
    <s v="その他"/>
    <n v="67000"/>
    <n v="3000"/>
    <n v="0"/>
    <n v="70000"/>
    <n v="70000"/>
    <m/>
    <m/>
    <m/>
  </r>
  <r>
    <x v="3"/>
    <x v="3"/>
    <n v="12"/>
    <s v="P1"/>
    <s v="-"/>
    <n v="804"/>
    <s v="駐車場"/>
    <s v="駐車場"/>
    <n v="30000"/>
    <n v="0"/>
    <n v="2400"/>
    <n v="32400"/>
    <n v="32400"/>
    <m/>
    <m/>
    <m/>
  </r>
  <r>
    <x v="3"/>
    <x v="3"/>
    <n v="13"/>
    <s v="P2"/>
    <s v="-"/>
    <n v="804"/>
    <s v="駐車場"/>
    <s v="駐車場"/>
    <n v="30000"/>
    <n v="0"/>
    <n v="2400"/>
    <n v="32400"/>
    <n v="32400"/>
    <m/>
    <m/>
    <m/>
  </r>
  <r>
    <x v="3"/>
    <x v="3"/>
    <n v="14"/>
    <s v="P3"/>
    <s v="-"/>
    <n v="804"/>
    <s v="駐車場"/>
    <s v="駐車場"/>
    <n v="30000"/>
    <n v="0"/>
    <n v="2400"/>
    <n v="32400"/>
    <n v="32400"/>
    <m/>
    <m/>
    <m/>
  </r>
  <r>
    <x v="4"/>
    <x v="4"/>
    <n v="1"/>
    <n v="101"/>
    <n v="20"/>
    <n v="801"/>
    <s v="住居"/>
    <s v="住居"/>
    <n v="50000"/>
    <n v="3000"/>
    <n v="0"/>
    <n v="53000"/>
    <n v="53000"/>
    <m/>
    <m/>
    <m/>
  </r>
  <r>
    <x v="4"/>
    <x v="4"/>
    <n v="2"/>
    <n v="102"/>
    <n v="20"/>
    <n v="801"/>
    <s v="住居"/>
    <s v="住居"/>
    <n v="50000"/>
    <n v="3000"/>
    <n v="0"/>
    <n v="53000"/>
    <n v="53000"/>
    <m/>
    <m/>
    <m/>
  </r>
  <r>
    <x v="4"/>
    <x v="4"/>
    <n v="3"/>
    <n v="103"/>
    <n v="20"/>
    <n v="801"/>
    <s v="住居"/>
    <s v="住居"/>
    <n v="0"/>
    <n v="0"/>
    <n v="0"/>
    <n v="0"/>
    <n v="60000"/>
    <n v="1"/>
    <m/>
    <s v="再募集中"/>
  </r>
  <r>
    <x v="4"/>
    <x v="4"/>
    <n v="4"/>
    <n v="201"/>
    <n v="20"/>
    <n v="801"/>
    <s v="住居"/>
    <s v="住居"/>
    <n v="0"/>
    <n v="0"/>
    <n v="0"/>
    <n v="0"/>
    <n v="60000"/>
    <n v="1"/>
    <m/>
    <s v="再募集中"/>
  </r>
  <r>
    <x v="4"/>
    <x v="4"/>
    <n v="5"/>
    <n v="202"/>
    <n v="20"/>
    <n v="801"/>
    <s v="住居"/>
    <s v="住居"/>
    <n v="50000"/>
    <n v="3000"/>
    <n v="0"/>
    <n v="53000"/>
    <n v="53000"/>
    <m/>
    <m/>
    <m/>
  </r>
  <r>
    <x v="4"/>
    <x v="4"/>
    <n v="6"/>
    <n v="203"/>
    <n v="20"/>
    <n v="807"/>
    <s v="倉庫"/>
    <s v="事務所/店舗"/>
    <n v="50000"/>
    <n v="0"/>
    <n v="4000"/>
    <n v="54000"/>
    <n v="54000"/>
    <m/>
    <m/>
    <m/>
  </r>
  <r>
    <x v="4"/>
    <x v="4"/>
    <n v="7"/>
    <n v="301"/>
    <n v="20"/>
    <n v="803"/>
    <s v="店舗"/>
    <s v="事務所/店舗"/>
    <n v="800000"/>
    <n v="0"/>
    <n v="64000"/>
    <n v="864000"/>
    <n v="864000"/>
    <m/>
    <m/>
    <m/>
  </r>
  <r>
    <x v="4"/>
    <x v="4"/>
    <n v="8"/>
    <n v="302"/>
    <n v="20"/>
    <n v="802"/>
    <s v="事務所"/>
    <s v="事務所/店舗"/>
    <n v="250000"/>
    <n v="0"/>
    <n v="20000"/>
    <n v="270000"/>
    <n v="270000"/>
    <m/>
    <m/>
    <m/>
  </r>
  <r>
    <x v="4"/>
    <x v="4"/>
    <n v="9"/>
    <s v="401"/>
    <n v="20"/>
    <n v="808"/>
    <s v="民泊"/>
    <s v="オペレーショナル"/>
    <n v="52000"/>
    <n v="3000"/>
    <n v="0"/>
    <n v="55000"/>
    <n v="55000"/>
    <m/>
    <m/>
    <m/>
  </r>
  <r>
    <x v="4"/>
    <x v="4"/>
    <n v="10"/>
    <s v="402"/>
    <n v="20"/>
    <n v="809"/>
    <s v="シェアハウス"/>
    <s v="オペレーショナル"/>
    <n v="52000"/>
    <n v="3000"/>
    <n v="0"/>
    <n v="55000"/>
    <n v="55000"/>
    <m/>
    <m/>
    <m/>
  </r>
  <r>
    <x v="4"/>
    <x v="4"/>
    <n v="11"/>
    <s v="RF"/>
    <s v="-"/>
    <n v="805"/>
    <s v="アンテナ"/>
    <s v="その他"/>
    <n v="67000"/>
    <n v="3000"/>
    <n v="0"/>
    <n v="70000"/>
    <n v="70000"/>
    <m/>
    <m/>
    <m/>
  </r>
  <r>
    <x v="4"/>
    <x v="4"/>
    <n v="12"/>
    <s v="P1"/>
    <s v="-"/>
    <n v="804"/>
    <s v="駐車場"/>
    <s v="駐車場"/>
    <n v="30000"/>
    <n v="0"/>
    <n v="2400"/>
    <n v="32400"/>
    <n v="32400"/>
    <m/>
    <m/>
    <m/>
  </r>
  <r>
    <x v="4"/>
    <x v="4"/>
    <n v="13"/>
    <s v="P2"/>
    <s v="-"/>
    <n v="804"/>
    <s v="駐車場"/>
    <s v="駐車場"/>
    <n v="30000"/>
    <n v="0"/>
    <n v="2400"/>
    <n v="32400"/>
    <n v="32400"/>
    <m/>
    <m/>
    <m/>
  </r>
  <r>
    <x v="4"/>
    <x v="4"/>
    <n v="14"/>
    <s v="P3"/>
    <s v="-"/>
    <n v="804"/>
    <s v="駐車場"/>
    <s v="駐車場"/>
    <n v="30000"/>
    <n v="0"/>
    <n v="2400"/>
    <n v="32400"/>
    <n v="32400"/>
    <m/>
    <m/>
    <m/>
  </r>
  <r>
    <x v="5"/>
    <x v="5"/>
    <n v="1"/>
    <n v="101"/>
    <n v="20"/>
    <n v="801"/>
    <s v="住居"/>
    <s v="住居"/>
    <n v="50000"/>
    <n v="3000"/>
    <n v="0"/>
    <n v="53000"/>
    <n v="53000"/>
    <m/>
    <m/>
    <m/>
  </r>
  <r>
    <x v="5"/>
    <x v="5"/>
    <n v="2"/>
    <n v="102"/>
    <n v="20"/>
    <n v="801"/>
    <s v="住居"/>
    <s v="住居"/>
    <n v="50000"/>
    <n v="3000"/>
    <n v="0"/>
    <n v="53000"/>
    <n v="53000"/>
    <m/>
    <m/>
    <m/>
  </r>
  <r>
    <x v="5"/>
    <x v="5"/>
    <n v="3"/>
    <n v="103"/>
    <n v="20"/>
    <n v="801"/>
    <s v="住居"/>
    <s v="住居"/>
    <n v="0"/>
    <n v="0"/>
    <n v="0"/>
    <n v="0"/>
    <n v="60000"/>
    <n v="1"/>
    <m/>
    <s v="再募集中"/>
  </r>
  <r>
    <x v="5"/>
    <x v="5"/>
    <n v="4"/>
    <n v="201"/>
    <n v="20"/>
    <n v="801"/>
    <s v="住居"/>
    <s v="住居"/>
    <n v="0"/>
    <n v="0"/>
    <n v="0"/>
    <n v="0"/>
    <n v="60000"/>
    <n v="1"/>
    <m/>
    <s v="再募集中"/>
  </r>
  <r>
    <x v="5"/>
    <x v="5"/>
    <n v="5"/>
    <n v="202"/>
    <n v="20"/>
    <n v="801"/>
    <s v="住居"/>
    <s v="住居"/>
    <n v="50000"/>
    <n v="3000"/>
    <n v="0"/>
    <n v="53000"/>
    <n v="53000"/>
    <m/>
    <m/>
    <m/>
  </r>
  <r>
    <x v="5"/>
    <x v="5"/>
    <n v="6"/>
    <n v="203"/>
    <n v="20"/>
    <n v="807"/>
    <s v="倉庫"/>
    <s v="事務所/店舗"/>
    <n v="50000"/>
    <n v="0"/>
    <n v="4000"/>
    <n v="54000"/>
    <n v="54000"/>
    <m/>
    <m/>
    <m/>
  </r>
  <r>
    <x v="5"/>
    <x v="5"/>
    <n v="7"/>
    <n v="301"/>
    <n v="20"/>
    <n v="803"/>
    <s v="店舗"/>
    <s v="事務所/店舗"/>
    <n v="800000"/>
    <n v="0"/>
    <n v="64000"/>
    <n v="864000"/>
    <n v="864000"/>
    <m/>
    <m/>
    <m/>
  </r>
  <r>
    <x v="5"/>
    <x v="5"/>
    <n v="8"/>
    <n v="302"/>
    <n v="20"/>
    <n v="802"/>
    <s v="事務所"/>
    <s v="事務所/店舗"/>
    <n v="250000"/>
    <n v="0"/>
    <n v="20000"/>
    <n v="270000"/>
    <n v="270000"/>
    <m/>
    <m/>
    <m/>
  </r>
  <r>
    <x v="5"/>
    <x v="5"/>
    <n v="9"/>
    <s v="401"/>
    <n v="20"/>
    <n v="808"/>
    <s v="民泊"/>
    <s v="オペレーショナル"/>
    <n v="52000"/>
    <n v="3000"/>
    <n v="0"/>
    <n v="55000"/>
    <n v="55000"/>
    <m/>
    <m/>
    <m/>
  </r>
  <r>
    <x v="5"/>
    <x v="5"/>
    <n v="10"/>
    <s v="402"/>
    <n v="20"/>
    <n v="809"/>
    <s v="シェアハウス"/>
    <s v="オペレーショナル"/>
    <n v="52000"/>
    <n v="3000"/>
    <n v="0"/>
    <n v="55000"/>
    <n v="55000"/>
    <m/>
    <m/>
    <m/>
  </r>
  <r>
    <x v="5"/>
    <x v="5"/>
    <n v="11"/>
    <s v="RF"/>
    <s v="-"/>
    <n v="805"/>
    <s v="アンテナ"/>
    <s v="その他"/>
    <n v="67000"/>
    <n v="3000"/>
    <n v="0"/>
    <n v="70000"/>
    <n v="70000"/>
    <m/>
    <m/>
    <m/>
  </r>
  <r>
    <x v="5"/>
    <x v="5"/>
    <n v="12"/>
    <s v="P1"/>
    <s v="-"/>
    <n v="804"/>
    <s v="駐車場"/>
    <s v="駐車場"/>
    <n v="30000"/>
    <n v="0"/>
    <n v="2400"/>
    <n v="32400"/>
    <n v="32400"/>
    <m/>
    <m/>
    <m/>
  </r>
  <r>
    <x v="5"/>
    <x v="5"/>
    <n v="13"/>
    <s v="P2"/>
    <s v="-"/>
    <n v="804"/>
    <s v="駐車場"/>
    <s v="駐車場"/>
    <n v="30000"/>
    <n v="0"/>
    <n v="2400"/>
    <n v="32400"/>
    <n v="32400"/>
    <m/>
    <m/>
    <m/>
  </r>
  <r>
    <x v="5"/>
    <x v="5"/>
    <n v="14"/>
    <s v="P3"/>
    <s v="-"/>
    <n v="804"/>
    <s v="駐車場"/>
    <s v="駐車場"/>
    <n v="30000"/>
    <n v="0"/>
    <n v="2400"/>
    <n v="32400"/>
    <n v="32400"/>
    <m/>
    <m/>
    <m/>
  </r>
  <r>
    <x v="6"/>
    <x v="6"/>
    <n v="1"/>
    <n v="101"/>
    <n v="20"/>
    <n v="801"/>
    <s v="住居"/>
    <s v="住居"/>
    <n v="50000"/>
    <n v="3000"/>
    <n v="0"/>
    <n v="53000"/>
    <n v="53000"/>
    <m/>
    <m/>
    <m/>
  </r>
  <r>
    <x v="6"/>
    <x v="6"/>
    <n v="2"/>
    <n v="102"/>
    <n v="20"/>
    <n v="801"/>
    <s v="住居"/>
    <s v="住居"/>
    <n v="50000"/>
    <n v="3000"/>
    <n v="0"/>
    <n v="53000"/>
    <n v="53000"/>
    <m/>
    <m/>
    <m/>
  </r>
  <r>
    <x v="6"/>
    <x v="6"/>
    <n v="3"/>
    <n v="103"/>
    <n v="20"/>
    <n v="801"/>
    <s v="住居"/>
    <s v="住居"/>
    <n v="0"/>
    <n v="0"/>
    <n v="0"/>
    <n v="0"/>
    <n v="60000"/>
    <n v="1"/>
    <m/>
    <s v="再募集中"/>
  </r>
  <r>
    <x v="6"/>
    <x v="6"/>
    <n v="4"/>
    <n v="201"/>
    <n v="20"/>
    <n v="801"/>
    <s v="住居"/>
    <s v="住居"/>
    <n v="0"/>
    <n v="0"/>
    <n v="0"/>
    <n v="0"/>
    <n v="60000"/>
    <n v="1"/>
    <m/>
    <s v="再募集中"/>
  </r>
  <r>
    <x v="6"/>
    <x v="6"/>
    <n v="5"/>
    <n v="202"/>
    <n v="20"/>
    <n v="801"/>
    <s v="住居"/>
    <s v="住居"/>
    <n v="50000"/>
    <n v="3000"/>
    <n v="0"/>
    <n v="53000"/>
    <n v="53000"/>
    <m/>
    <m/>
    <m/>
  </r>
  <r>
    <x v="6"/>
    <x v="6"/>
    <n v="6"/>
    <n v="203"/>
    <n v="20"/>
    <n v="807"/>
    <s v="倉庫"/>
    <s v="事務所/店舗"/>
    <n v="50000"/>
    <n v="0"/>
    <n v="4000"/>
    <n v="54000"/>
    <n v="54000"/>
    <m/>
    <m/>
    <m/>
  </r>
  <r>
    <x v="6"/>
    <x v="6"/>
    <n v="7"/>
    <n v="301"/>
    <n v="20"/>
    <n v="803"/>
    <s v="店舗"/>
    <s v="事務所/店舗"/>
    <n v="800000"/>
    <n v="0"/>
    <n v="64000"/>
    <n v="864000"/>
    <n v="864000"/>
    <m/>
    <m/>
    <m/>
  </r>
  <r>
    <x v="6"/>
    <x v="6"/>
    <n v="8"/>
    <n v="302"/>
    <n v="20"/>
    <n v="802"/>
    <s v="事務所"/>
    <s v="事務所/店舗"/>
    <n v="250000"/>
    <n v="0"/>
    <n v="20000"/>
    <n v="270000"/>
    <n v="270000"/>
    <m/>
    <m/>
    <m/>
  </r>
  <r>
    <x v="6"/>
    <x v="6"/>
    <n v="9"/>
    <s v="401"/>
    <n v="20"/>
    <n v="808"/>
    <s v="民泊"/>
    <s v="オペレーショナル"/>
    <n v="52000"/>
    <n v="3000"/>
    <n v="0"/>
    <n v="55000"/>
    <n v="55000"/>
    <m/>
    <m/>
    <m/>
  </r>
  <r>
    <x v="6"/>
    <x v="6"/>
    <n v="10"/>
    <s v="402"/>
    <n v="20"/>
    <n v="809"/>
    <s v="シェアハウス"/>
    <s v="オペレーショナル"/>
    <n v="52000"/>
    <n v="3000"/>
    <n v="0"/>
    <n v="55000"/>
    <n v="55000"/>
    <m/>
    <m/>
    <m/>
  </r>
  <r>
    <x v="6"/>
    <x v="6"/>
    <n v="11"/>
    <s v="RF"/>
    <s v="-"/>
    <n v="805"/>
    <s v="アンテナ"/>
    <s v="その他"/>
    <n v="67000"/>
    <n v="3000"/>
    <n v="0"/>
    <n v="70000"/>
    <n v="70000"/>
    <m/>
    <m/>
    <m/>
  </r>
  <r>
    <x v="6"/>
    <x v="6"/>
    <n v="12"/>
    <s v="P1"/>
    <s v="-"/>
    <n v="804"/>
    <s v="駐車場"/>
    <s v="駐車場"/>
    <n v="30000"/>
    <n v="0"/>
    <n v="2400"/>
    <n v="32400"/>
    <n v="32400"/>
    <m/>
    <m/>
    <m/>
  </r>
  <r>
    <x v="6"/>
    <x v="6"/>
    <n v="13"/>
    <s v="P2"/>
    <s v="-"/>
    <n v="804"/>
    <s v="駐車場"/>
    <s v="駐車場"/>
    <n v="30000"/>
    <n v="0"/>
    <n v="2400"/>
    <n v="32400"/>
    <n v="32400"/>
    <m/>
    <m/>
    <m/>
  </r>
  <r>
    <x v="6"/>
    <x v="6"/>
    <n v="14"/>
    <s v="P3"/>
    <s v="-"/>
    <n v="804"/>
    <s v="駐車場"/>
    <s v="駐車場"/>
    <n v="30000"/>
    <n v="0"/>
    <n v="2400"/>
    <n v="32400"/>
    <n v="32400"/>
    <m/>
    <m/>
    <m/>
  </r>
  <r>
    <x v="7"/>
    <x v="7"/>
    <n v="1"/>
    <n v="101"/>
    <n v="20"/>
    <n v="801"/>
    <s v="住居"/>
    <s v="住居"/>
    <n v="50000"/>
    <n v="3000"/>
    <n v="0"/>
    <n v="53000"/>
    <n v="53000"/>
    <m/>
    <m/>
    <m/>
  </r>
  <r>
    <x v="7"/>
    <x v="7"/>
    <n v="2"/>
    <n v="102"/>
    <n v="20"/>
    <n v="801"/>
    <s v="住居"/>
    <s v="住居"/>
    <n v="50000"/>
    <n v="3000"/>
    <n v="0"/>
    <n v="53000"/>
    <n v="53000"/>
    <m/>
    <m/>
    <m/>
  </r>
  <r>
    <x v="7"/>
    <x v="7"/>
    <n v="3"/>
    <n v="103"/>
    <n v="20"/>
    <n v="801"/>
    <s v="住居"/>
    <s v="住居"/>
    <n v="0"/>
    <n v="0"/>
    <n v="0"/>
    <n v="0"/>
    <n v="60000"/>
    <n v="1"/>
    <m/>
    <s v="再募集中"/>
  </r>
  <r>
    <x v="7"/>
    <x v="7"/>
    <n v="4"/>
    <n v="201"/>
    <n v="20"/>
    <n v="801"/>
    <s v="住居"/>
    <s v="住居"/>
    <n v="0"/>
    <n v="0"/>
    <n v="0"/>
    <n v="0"/>
    <n v="60000"/>
    <n v="1"/>
    <m/>
    <s v="再募集中"/>
  </r>
  <r>
    <x v="7"/>
    <x v="7"/>
    <n v="5"/>
    <n v="202"/>
    <n v="20"/>
    <n v="801"/>
    <s v="住居"/>
    <s v="住居"/>
    <n v="50000"/>
    <n v="3000"/>
    <n v="0"/>
    <n v="53000"/>
    <n v="53000"/>
    <m/>
    <m/>
    <m/>
  </r>
  <r>
    <x v="7"/>
    <x v="7"/>
    <n v="6"/>
    <n v="203"/>
    <n v="20"/>
    <n v="807"/>
    <s v="倉庫"/>
    <s v="事務所/店舗"/>
    <n v="50000"/>
    <n v="0"/>
    <n v="4000"/>
    <n v="54000"/>
    <n v="54000"/>
    <m/>
    <m/>
    <m/>
  </r>
  <r>
    <x v="7"/>
    <x v="7"/>
    <n v="7"/>
    <n v="301"/>
    <n v="20"/>
    <n v="803"/>
    <s v="店舗"/>
    <s v="事務所/店舗"/>
    <n v="800000"/>
    <n v="0"/>
    <n v="64000"/>
    <n v="864000"/>
    <n v="864000"/>
    <m/>
    <m/>
    <m/>
  </r>
  <r>
    <x v="7"/>
    <x v="7"/>
    <n v="8"/>
    <n v="302"/>
    <n v="20"/>
    <n v="802"/>
    <s v="事務所"/>
    <s v="事務所/店舗"/>
    <n v="250000"/>
    <n v="0"/>
    <n v="20000"/>
    <n v="270000"/>
    <n v="270000"/>
    <m/>
    <m/>
    <m/>
  </r>
  <r>
    <x v="7"/>
    <x v="7"/>
    <n v="9"/>
    <s v="401"/>
    <n v="20"/>
    <n v="808"/>
    <s v="民泊"/>
    <s v="オペレーショナル"/>
    <n v="52000"/>
    <n v="3000"/>
    <n v="0"/>
    <n v="55000"/>
    <n v="55000"/>
    <m/>
    <m/>
    <m/>
  </r>
  <r>
    <x v="7"/>
    <x v="7"/>
    <n v="10"/>
    <s v="402"/>
    <n v="20"/>
    <n v="809"/>
    <s v="シェアハウス"/>
    <s v="オペレーショナル"/>
    <n v="52000"/>
    <n v="3000"/>
    <n v="0"/>
    <n v="55000"/>
    <n v="55000"/>
    <m/>
    <m/>
    <m/>
  </r>
  <r>
    <x v="7"/>
    <x v="7"/>
    <n v="11"/>
    <s v="RF"/>
    <s v="-"/>
    <n v="805"/>
    <s v="アンテナ"/>
    <s v="その他"/>
    <n v="67000"/>
    <n v="3000"/>
    <n v="0"/>
    <n v="70000"/>
    <n v="70000"/>
    <m/>
    <m/>
    <m/>
  </r>
  <r>
    <x v="7"/>
    <x v="7"/>
    <n v="12"/>
    <s v="P1"/>
    <s v="-"/>
    <n v="804"/>
    <s v="駐車場"/>
    <s v="駐車場"/>
    <n v="30000"/>
    <n v="0"/>
    <n v="2400"/>
    <n v="32400"/>
    <n v="32400"/>
    <m/>
    <m/>
    <m/>
  </r>
  <r>
    <x v="7"/>
    <x v="7"/>
    <n v="13"/>
    <s v="P2"/>
    <s v="-"/>
    <n v="804"/>
    <s v="駐車場"/>
    <s v="駐車場"/>
    <n v="30000"/>
    <n v="0"/>
    <n v="2400"/>
    <n v="32400"/>
    <n v="32400"/>
    <m/>
    <m/>
    <m/>
  </r>
  <r>
    <x v="7"/>
    <x v="7"/>
    <n v="14"/>
    <s v="P3"/>
    <s v="-"/>
    <n v="804"/>
    <s v="駐車場"/>
    <s v="駐車場"/>
    <n v="30000"/>
    <n v="0"/>
    <n v="2400"/>
    <n v="32400"/>
    <n v="32400"/>
    <m/>
    <m/>
    <m/>
  </r>
  <r>
    <x v="8"/>
    <x v="8"/>
    <n v="1"/>
    <n v="101"/>
    <n v="20"/>
    <n v="801"/>
    <s v="住居"/>
    <s v="住居"/>
    <n v="300000"/>
    <n v="3000"/>
    <n v="0"/>
    <n v="303000"/>
    <n v="303000"/>
    <m/>
    <m/>
    <m/>
  </r>
  <r>
    <x v="9"/>
    <x v="9"/>
    <n v="1"/>
    <s v="102"/>
    <n v="30"/>
    <n v="801"/>
    <s v="住居"/>
    <s v="住居"/>
    <n v="300000"/>
    <n v="5000"/>
    <n v="0"/>
    <n v="305000"/>
    <n v="305000"/>
    <m/>
    <m/>
    <m/>
  </r>
  <r>
    <x v="10"/>
    <x v="10"/>
    <n v="1"/>
    <s v="201"/>
    <n v="35"/>
    <n v="801"/>
    <s v="住居"/>
    <s v="住居"/>
    <n v="300000"/>
    <n v="5000"/>
    <n v="0"/>
    <n v="305000"/>
    <n v="305000"/>
    <m/>
    <m/>
    <m/>
  </r>
  <r>
    <x v="11"/>
    <x v="11"/>
    <n v="1"/>
    <s v="202"/>
    <n v="40"/>
    <n v="801"/>
    <s v="住居"/>
    <s v="住居"/>
    <n v="300000"/>
    <n v="5000"/>
    <n v="0"/>
    <n v="305000"/>
    <n v="305000"/>
    <m/>
    <m/>
    <m/>
  </r>
  <r>
    <x v="12"/>
    <x v="12"/>
    <n v="1"/>
    <s v="203"/>
    <n v="50"/>
    <n v="801"/>
    <s v="住居"/>
    <s v="住居"/>
    <n v="300000"/>
    <n v="5000"/>
    <n v="0"/>
    <n v="305000"/>
    <n v="305000"/>
    <m/>
    <m/>
    <m/>
  </r>
  <r>
    <x v="13"/>
    <x v="13"/>
    <n v="1"/>
    <s v="3099"/>
    <n v="100"/>
    <n v="801"/>
    <s v="住居"/>
    <s v="住居"/>
    <n v="0"/>
    <n v="0"/>
    <n v="0"/>
    <n v="0"/>
    <n v="300000"/>
    <m/>
    <n v="1"/>
    <s v="オーナー自己使用"/>
  </r>
  <r>
    <x v="13"/>
    <x v="13"/>
    <n v="1"/>
    <s v="P"/>
    <s v="-"/>
    <n v="804"/>
    <s v="駐車場"/>
    <s v="駐車場"/>
    <n v="0"/>
    <n v="0"/>
    <n v="0"/>
    <n v="0"/>
    <n v="50000"/>
    <m/>
    <n v="1"/>
    <s v="オーナー自己使用"/>
  </r>
  <r>
    <x v="14"/>
    <x v="14"/>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n v="1"/>
    <x v="0"/>
    <x v="0"/>
    <x v="0"/>
    <s v="no"/>
    <s v="豊島区南池袋1-2-3"/>
    <m/>
    <n v="123"/>
    <s v="1"/>
    <s v="1"/>
    <n v="10000000"/>
    <n v="50000"/>
    <n v="10000"/>
    <n v="10000000"/>
    <n v="7000000"/>
    <n v="50000"/>
    <n v="10000"/>
    <n v="10000000"/>
    <n v="7000000"/>
    <n v="50000"/>
    <n v="10000"/>
    <n v="10000000"/>
    <n v="7000000"/>
    <n v="50000"/>
    <n v="10000"/>
    <n v="1"/>
  </r>
  <r>
    <n v="2"/>
    <x v="0"/>
    <x v="0"/>
    <x v="0"/>
    <s v="no"/>
    <s v="豊島区南池袋1-2-3"/>
    <m/>
    <n v="20"/>
    <s v="1"/>
    <s v="1"/>
    <n v="1000000"/>
    <n v="1000"/>
    <n v="1000"/>
    <n v="1000000"/>
    <n v="700000"/>
    <n v="1000"/>
    <n v="1000"/>
    <n v="1000000"/>
    <n v="700000"/>
    <n v="1000"/>
    <n v="1000"/>
    <n v="1000000"/>
    <n v="700000"/>
    <n v="1000"/>
    <n v="1000"/>
    <n v="1"/>
  </r>
  <r>
    <n v="3"/>
    <x v="0"/>
    <x v="0"/>
    <x v="0"/>
    <s v="no"/>
    <s v="豊島区南池袋1-2-3"/>
    <m/>
    <n v="10"/>
    <s v="1"/>
    <s v="1"/>
    <n v="1000000"/>
    <n v="1000"/>
    <n v="1000"/>
    <n v="1000000"/>
    <n v="700000"/>
    <n v="1000"/>
    <n v="1000"/>
    <n v="1000000"/>
    <n v="700000"/>
    <n v="1000"/>
    <n v="1000"/>
    <n v="1000000"/>
    <n v="700000"/>
    <n v="1000"/>
    <n v="1000"/>
    <n v="1"/>
  </r>
  <r>
    <n v="4"/>
    <x v="0"/>
    <x v="0"/>
    <x v="1"/>
    <s v="-"/>
    <s v="豊島区南池袋1-2-3"/>
    <s v="123-1"/>
    <n v="200"/>
    <s v="1"/>
    <s v="1"/>
    <n v="10000000"/>
    <n v="50000"/>
    <n v="10000"/>
    <n v="10000000"/>
    <n v="7000000"/>
    <n v="50000"/>
    <n v="10000"/>
    <n v="10000000"/>
    <n v="7000000"/>
    <n v="50000"/>
    <n v="10000"/>
    <n v="10000000"/>
    <n v="7000000"/>
    <n v="50000"/>
    <n v="10000"/>
    <n v="1"/>
  </r>
  <r>
    <n v="5"/>
    <x v="1"/>
    <x v="1"/>
    <x v="0"/>
    <s v="yes"/>
    <s v="豊島区南池袋1-2-3"/>
    <m/>
    <n v="123"/>
    <s v="1"/>
    <s v="1"/>
    <n v="1000000"/>
    <n v="1000"/>
    <n v="1000"/>
    <n v="10000000"/>
    <n v="7000000"/>
    <n v="50000"/>
    <n v="10000"/>
    <n v="10000000"/>
    <n v="7000000"/>
    <n v="50000"/>
    <n v="10000"/>
    <n v="10000000"/>
    <n v="7000000"/>
    <n v="50000"/>
    <n v="10000"/>
    <n v="1"/>
  </r>
  <r>
    <n v="6"/>
    <x v="1"/>
    <x v="1"/>
    <x v="1"/>
    <s v="-"/>
    <s v="豊島区南池袋1-2-3"/>
    <s v="123-1"/>
    <n v="300"/>
    <s v="1"/>
    <s v="1"/>
    <n v="10000000"/>
    <n v="50000"/>
    <n v="10000"/>
    <n v="1000000"/>
    <n v="700000"/>
    <n v="1000"/>
    <n v="1000"/>
    <n v="1000000"/>
    <n v="700000"/>
    <n v="1000"/>
    <n v="1000"/>
    <n v="1000000"/>
    <n v="700000"/>
    <n v="1000"/>
    <n v="1000"/>
    <n v="1"/>
  </r>
  <r>
    <n v="7"/>
    <x v="2"/>
    <x v="2"/>
    <x v="0"/>
    <s v="yes"/>
    <s v="豊島区南池袋1-2-3"/>
    <m/>
    <n v="123"/>
    <s v="1"/>
    <s v="1"/>
    <n v="1000000"/>
    <n v="1000"/>
    <n v="1000"/>
    <n v="1000000"/>
    <n v="700000"/>
    <n v="1000"/>
    <n v="1000"/>
    <n v="1000000"/>
    <n v="700000"/>
    <n v="1000"/>
    <n v="1000"/>
    <n v="1000000"/>
    <n v="700000"/>
    <n v="1000"/>
    <n v="1000"/>
    <n v="1"/>
  </r>
  <r>
    <n v="8"/>
    <x v="2"/>
    <x v="2"/>
    <x v="1"/>
    <s v="-"/>
    <s v="豊島区南池袋1-2-3"/>
    <s v="123-1"/>
    <n v="300"/>
    <s v="1"/>
    <s v="1"/>
    <n v="10000000"/>
    <n v="50000"/>
    <n v="10000"/>
    <n v="10000000"/>
    <n v="7000000"/>
    <n v="50000"/>
    <n v="10000"/>
    <n v="10000000"/>
    <n v="7000000"/>
    <n v="50000"/>
    <n v="10000"/>
    <n v="10000000"/>
    <n v="7000000"/>
    <n v="50000"/>
    <n v="10000"/>
    <n v="1"/>
  </r>
  <r>
    <n v="9"/>
    <x v="3"/>
    <x v="3"/>
    <x v="0"/>
    <s v="no"/>
    <s v="豊島区南池袋1-2-3"/>
    <m/>
    <n v="123"/>
    <s v="1"/>
    <s v="1"/>
    <n v="1000000"/>
    <n v="1000"/>
    <n v="1000"/>
    <n v="10000000"/>
    <n v="7000000"/>
    <n v="50000"/>
    <n v="10000"/>
    <n v="10000000"/>
    <n v="7000000"/>
    <n v="50000"/>
    <n v="10000"/>
    <n v="10000000"/>
    <n v="7000000"/>
    <n v="50000"/>
    <n v="10000"/>
    <n v="1"/>
  </r>
  <r>
    <n v="10"/>
    <x v="3"/>
    <x v="3"/>
    <x v="1"/>
    <s v="-"/>
    <s v="豊島区南池袋1-2-3"/>
    <s v="123-1"/>
    <n v="300"/>
    <s v="1"/>
    <s v="1"/>
    <n v="10000000"/>
    <n v="50000"/>
    <n v="10000"/>
    <n v="1000000"/>
    <n v="700000"/>
    <n v="1000"/>
    <n v="1000"/>
    <n v="1000000"/>
    <n v="700000"/>
    <n v="1000"/>
    <n v="1000"/>
    <n v="1000000"/>
    <n v="700000"/>
    <n v="1000"/>
    <n v="1000"/>
    <n v="1"/>
  </r>
  <r>
    <n v="11"/>
    <x v="4"/>
    <x v="4"/>
    <x v="0"/>
    <s v="no"/>
    <s v="豊島区南池袋1-2-3"/>
    <m/>
    <n v="123"/>
    <s v="1"/>
    <s v="1"/>
    <n v="1000000"/>
    <n v="1000"/>
    <n v="1000"/>
    <n v="1000000"/>
    <n v="700000"/>
    <n v="1000"/>
    <n v="1000"/>
    <n v="1000000"/>
    <n v="700000"/>
    <n v="1000"/>
    <n v="1000"/>
    <n v="1000000"/>
    <n v="700000"/>
    <n v="1000"/>
    <n v="1000"/>
    <n v="1"/>
  </r>
  <r>
    <n v="12"/>
    <x v="4"/>
    <x v="4"/>
    <x v="1"/>
    <s v="-"/>
    <s v="豊島区南池袋1-2-3"/>
    <s v="123-1"/>
    <n v="300"/>
    <s v="1"/>
    <s v="1"/>
    <n v="10000000"/>
    <n v="50000"/>
    <n v="10000"/>
    <n v="10000000"/>
    <n v="7000000"/>
    <n v="50000"/>
    <n v="10000"/>
    <n v="10000000"/>
    <n v="7000000"/>
    <n v="50000"/>
    <n v="10000"/>
    <n v="10000000"/>
    <n v="7000000"/>
    <n v="50000"/>
    <n v="10000"/>
    <n v="1"/>
  </r>
  <r>
    <n v="13"/>
    <x v="5"/>
    <x v="5"/>
    <x v="0"/>
    <s v="no"/>
    <s v="豊島区南池袋1-2-3"/>
    <m/>
    <n v="123"/>
    <s v="1"/>
    <s v="1"/>
    <n v="10000000"/>
    <n v="50000"/>
    <n v="10000"/>
    <n v="10000000"/>
    <n v="7000000"/>
    <n v="50000"/>
    <n v="10000"/>
    <n v="10000000"/>
    <n v="7000000"/>
    <n v="50000"/>
    <n v="10000"/>
    <n v="10000000"/>
    <n v="7000000"/>
    <n v="50000"/>
    <n v="10000"/>
    <n v="1"/>
  </r>
  <r>
    <n v="14"/>
    <x v="5"/>
    <x v="5"/>
    <x v="1"/>
    <s v="-"/>
    <s v="豊島区南池袋1-2-3"/>
    <s v="123-1"/>
    <n v="300"/>
    <s v="1"/>
    <s v="1"/>
    <n v="1000000"/>
    <n v="1000"/>
    <n v="1000"/>
    <n v="1000000"/>
    <n v="700000"/>
    <n v="1000"/>
    <n v="1000"/>
    <n v="1000000"/>
    <n v="700000"/>
    <n v="1000"/>
    <n v="1000"/>
    <n v="1000000"/>
    <n v="700000"/>
    <n v="1000"/>
    <n v="1000"/>
    <n v="1"/>
  </r>
  <r>
    <n v="15"/>
    <x v="6"/>
    <x v="6"/>
    <x v="0"/>
    <s v="no"/>
    <s v="豊島区南池袋1-2-3"/>
    <m/>
    <n v="123"/>
    <s v="1"/>
    <s v="1"/>
    <n v="1000000"/>
    <n v="1000"/>
    <n v="1000"/>
    <n v="1000000"/>
    <n v="700000"/>
    <n v="1000"/>
    <n v="1000"/>
    <n v="1000000"/>
    <n v="700000"/>
    <n v="1000"/>
    <n v="1000"/>
    <n v="1000000"/>
    <n v="700000"/>
    <n v="1000"/>
    <n v="1000"/>
    <n v="1"/>
  </r>
  <r>
    <n v="16"/>
    <x v="6"/>
    <x v="6"/>
    <x v="1"/>
    <s v="-"/>
    <s v="豊島区南池袋1-2-3"/>
    <s v="123-1"/>
    <n v="300"/>
    <s v="1"/>
    <s v="1"/>
    <n v="10000000"/>
    <n v="50000"/>
    <n v="10000"/>
    <n v="10000000"/>
    <n v="7000000"/>
    <n v="50000"/>
    <n v="10000"/>
    <n v="10000000"/>
    <n v="7000000"/>
    <n v="50000"/>
    <n v="10000"/>
    <n v="10000000"/>
    <n v="7000000"/>
    <n v="50000"/>
    <n v="10000"/>
    <n v="1"/>
  </r>
  <r>
    <n v="17"/>
    <x v="7"/>
    <x v="7"/>
    <x v="0"/>
    <s v="no"/>
    <s v="豊島区南池袋1-2-3"/>
    <m/>
    <n v="123"/>
    <s v="1"/>
    <s v="1"/>
    <n v="1000000"/>
    <n v="1000"/>
    <n v="1000"/>
    <n v="10000000"/>
    <n v="7000000"/>
    <n v="50000"/>
    <n v="10000"/>
    <n v="10000000"/>
    <n v="7000000"/>
    <n v="50000"/>
    <n v="10000"/>
    <n v="10000000"/>
    <n v="7000000"/>
    <n v="50000"/>
    <n v="10000"/>
    <n v="1"/>
  </r>
  <r>
    <n v="18"/>
    <x v="7"/>
    <x v="7"/>
    <x v="1"/>
    <s v="-"/>
    <s v="豊島区南池袋1-2-3"/>
    <s v="123-1"/>
    <n v="300"/>
    <s v="1"/>
    <s v="1"/>
    <n v="10000000"/>
    <n v="50000"/>
    <n v="10000"/>
    <n v="1000000"/>
    <n v="700000"/>
    <n v="1000"/>
    <n v="1000"/>
    <n v="1000000"/>
    <n v="700000"/>
    <n v="1000"/>
    <n v="1000"/>
    <n v="1000000"/>
    <n v="700000"/>
    <n v="1000"/>
    <n v="1000"/>
    <n v="1"/>
  </r>
  <r>
    <n v="19"/>
    <x v="8"/>
    <x v="8"/>
    <x v="0"/>
    <s v="no"/>
    <s v="豊島区南池袋1-2-3"/>
    <m/>
    <n v="5000"/>
    <n v="123"/>
    <n v="5555"/>
    <n v="1000000"/>
    <n v="1000"/>
    <n v="1000"/>
    <n v="1000000"/>
    <n v="700000"/>
    <n v="1000"/>
    <n v="1000"/>
    <n v="1000000"/>
    <n v="700000"/>
    <n v="1000"/>
    <n v="1000"/>
    <n v="1000000"/>
    <n v="700000"/>
    <n v="1000"/>
    <n v="1000"/>
    <n v="1"/>
  </r>
  <r>
    <n v="20"/>
    <x v="8"/>
    <x v="8"/>
    <x v="1"/>
    <s v="-"/>
    <s v="豊島区南池袋1-2-3"/>
    <s v="123-1"/>
    <n v="4000"/>
    <n v="123"/>
    <n v="5555"/>
    <n v="10000000"/>
    <n v="50000"/>
    <n v="10000"/>
    <n v="10000000"/>
    <n v="7000000"/>
    <n v="50000"/>
    <n v="10000"/>
    <n v="10000000"/>
    <n v="7000000"/>
    <n v="50000"/>
    <n v="10000"/>
    <n v="10000000"/>
    <n v="7000000"/>
    <n v="50000"/>
    <n v="10000"/>
    <n v="1"/>
  </r>
  <r>
    <n v="21"/>
    <x v="9"/>
    <x v="9"/>
    <x v="0"/>
    <s v="no"/>
    <s v="豊島区南池袋1-2-3"/>
    <m/>
    <n v="5000"/>
    <n v="123"/>
    <n v="5555"/>
    <n v="1000000"/>
    <n v="1000"/>
    <n v="1000"/>
    <n v="10000000"/>
    <n v="7000000"/>
    <n v="50000"/>
    <n v="10000"/>
    <n v="10000000"/>
    <n v="7000000"/>
    <n v="50000"/>
    <n v="10000"/>
    <n v="10000000"/>
    <n v="7000000"/>
    <n v="50000"/>
    <n v="10000"/>
    <n v="1"/>
  </r>
  <r>
    <n v="22"/>
    <x v="9"/>
    <x v="9"/>
    <x v="1"/>
    <s v="-"/>
    <s v="豊島区南池袋1-2-3"/>
    <s v="123-1"/>
    <n v="4000"/>
    <n v="123"/>
    <n v="5555"/>
    <n v="10000000"/>
    <n v="50000"/>
    <n v="10000"/>
    <n v="1000000"/>
    <n v="700000"/>
    <n v="1000"/>
    <n v="1000"/>
    <n v="1000000"/>
    <n v="700000"/>
    <n v="1000"/>
    <n v="1000"/>
    <n v="1000000"/>
    <n v="700000"/>
    <n v="1000"/>
    <n v="1000"/>
    <n v="1"/>
  </r>
  <r>
    <n v="23"/>
    <x v="10"/>
    <x v="10"/>
    <x v="0"/>
    <s v="no"/>
    <s v="豊島区南池袋1-2-3"/>
    <m/>
    <n v="5000"/>
    <n v="123"/>
    <n v="5555"/>
    <n v="1000000"/>
    <n v="1000"/>
    <n v="1000"/>
    <n v="1000000"/>
    <n v="700000"/>
    <n v="1000"/>
    <n v="1000"/>
    <n v="1000000"/>
    <n v="700000"/>
    <n v="1000"/>
    <n v="1000"/>
    <n v="1000000"/>
    <n v="700000"/>
    <n v="1000"/>
    <n v="1000"/>
    <n v="1"/>
  </r>
  <r>
    <n v="24"/>
    <x v="10"/>
    <x v="10"/>
    <x v="1"/>
    <s v="-"/>
    <s v="豊島区南池袋1-2-3"/>
    <s v="123-1"/>
    <n v="4000"/>
    <n v="123"/>
    <n v="5555"/>
    <n v="10000000"/>
    <n v="50000"/>
    <n v="10000"/>
    <n v="10000000"/>
    <n v="7000000"/>
    <n v="50000"/>
    <n v="10000"/>
    <n v="10000000"/>
    <n v="7000000"/>
    <n v="50000"/>
    <n v="10000"/>
    <n v="10000000"/>
    <n v="7000000"/>
    <n v="50000"/>
    <n v="10000"/>
    <n v="1"/>
  </r>
  <r>
    <n v="25"/>
    <x v="11"/>
    <x v="11"/>
    <x v="0"/>
    <s v="no"/>
    <s v="豊島区南池袋1-2-3"/>
    <m/>
    <n v="5000"/>
    <n v="123"/>
    <n v="5555"/>
    <n v="1000000"/>
    <n v="1000"/>
    <n v="1000"/>
    <n v="1000000"/>
    <n v="700000"/>
    <n v="1000"/>
    <n v="1000"/>
    <n v="1000000"/>
    <n v="700000"/>
    <n v="1000"/>
    <n v="1000"/>
    <n v="1000000"/>
    <n v="700000"/>
    <n v="1000"/>
    <n v="1000"/>
    <n v="1"/>
  </r>
  <r>
    <n v="26"/>
    <x v="11"/>
    <x v="11"/>
    <x v="1"/>
    <s v="-"/>
    <s v="豊島区南池袋1-2-3"/>
    <s v="123-1"/>
    <n v="4000"/>
    <n v="123"/>
    <n v="5555"/>
    <n v="10000000"/>
    <n v="50000"/>
    <n v="10000"/>
    <n v="10000000"/>
    <n v="7000000"/>
    <n v="50000"/>
    <n v="10000"/>
    <n v="10000000"/>
    <n v="7000000"/>
    <n v="50000"/>
    <n v="10000"/>
    <n v="10000000"/>
    <n v="7000000"/>
    <n v="50000"/>
    <n v="10000"/>
    <n v="1"/>
  </r>
  <r>
    <n v="27"/>
    <x v="12"/>
    <x v="12"/>
    <x v="0"/>
    <s v="no"/>
    <s v="豊島区南池袋1-2-3"/>
    <m/>
    <n v="5000"/>
    <n v="123"/>
    <n v="5555"/>
    <n v="1000000"/>
    <n v="1000"/>
    <n v="1000"/>
    <n v="1000000"/>
    <n v="700000"/>
    <n v="1000"/>
    <n v="1000"/>
    <n v="1000000"/>
    <n v="700000"/>
    <n v="1000"/>
    <n v="1000"/>
    <n v="1000000"/>
    <n v="700000"/>
    <n v="1000"/>
    <n v="1000"/>
    <n v="1"/>
  </r>
  <r>
    <n v="28"/>
    <x v="12"/>
    <x v="12"/>
    <x v="1"/>
    <s v="-"/>
    <s v="豊島区南池袋1-2-3"/>
    <s v="123-1"/>
    <n v="4000"/>
    <n v="123"/>
    <n v="5555"/>
    <n v="10000000"/>
    <n v="50000"/>
    <n v="10000"/>
    <n v="10000000"/>
    <n v="7000000"/>
    <n v="50000"/>
    <n v="10000"/>
    <n v="10000000"/>
    <n v="7000000"/>
    <n v="50000"/>
    <n v="10000"/>
    <n v="10000000"/>
    <n v="7000000"/>
    <n v="50000"/>
    <n v="10000"/>
    <n v="1"/>
  </r>
  <r>
    <n v="29"/>
    <x v="13"/>
    <x v="13"/>
    <x v="0"/>
    <s v="no"/>
    <s v="豊島区南池袋1-2-3"/>
    <m/>
    <n v="5000"/>
    <n v="123"/>
    <n v="5555"/>
    <n v="1000000"/>
    <n v="1000"/>
    <n v="1000"/>
    <n v="1000000"/>
    <n v="700000"/>
    <n v="1000"/>
    <n v="1000"/>
    <n v="1000000"/>
    <n v="700000"/>
    <n v="1000"/>
    <n v="1000"/>
    <n v="1000000"/>
    <n v="700000"/>
    <n v="1000"/>
    <n v="1000"/>
    <n v="1"/>
  </r>
  <r>
    <n v="30"/>
    <x v="13"/>
    <x v="13"/>
    <x v="1"/>
    <s v="-"/>
    <s v="豊島区南池袋1-2-3"/>
    <s v="123-1"/>
    <n v="4000"/>
    <n v="123"/>
    <n v="5555"/>
    <n v="10000000"/>
    <n v="50000"/>
    <n v="10000"/>
    <n v="1000000"/>
    <n v="700000"/>
    <n v="1000"/>
    <n v="1000"/>
    <n v="1000000"/>
    <n v="700000"/>
    <n v="1000"/>
    <n v="1000"/>
    <n v="1000000"/>
    <n v="700000"/>
    <n v="1000"/>
    <n v="1000"/>
    <n v="1"/>
  </r>
  <r>
    <m/>
    <x v="14"/>
    <x v="14"/>
    <x v="2"/>
    <m/>
    <m/>
    <m/>
    <m/>
    <m/>
    <m/>
    <m/>
    <m/>
    <m/>
    <m/>
    <m/>
    <m/>
    <m/>
    <m/>
    <m/>
    <m/>
    <m/>
    <m/>
    <m/>
    <m/>
    <m/>
    <m/>
  </r>
  <r>
    <m/>
    <x v="14"/>
    <x v="14"/>
    <x v="2"/>
    <m/>
    <m/>
    <m/>
    <m/>
    <m/>
    <m/>
    <m/>
    <m/>
    <m/>
    <m/>
    <m/>
    <m/>
    <m/>
    <m/>
    <m/>
    <m/>
    <m/>
    <m/>
    <m/>
    <m/>
    <m/>
    <m/>
  </r>
  <r>
    <m/>
    <x v="14"/>
    <x v="14"/>
    <x v="2"/>
    <m/>
    <m/>
    <m/>
    <m/>
    <m/>
    <m/>
    <m/>
    <m/>
    <m/>
    <m/>
    <m/>
    <m/>
    <m/>
    <m/>
    <m/>
    <m/>
    <m/>
    <m/>
    <m/>
    <m/>
    <m/>
    <m/>
  </r>
  <r>
    <m/>
    <x v="14"/>
    <x v="14"/>
    <x v="2"/>
    <m/>
    <m/>
    <m/>
    <m/>
    <m/>
    <m/>
    <m/>
    <m/>
    <m/>
    <m/>
    <m/>
    <m/>
    <m/>
    <m/>
    <m/>
    <m/>
    <m/>
    <m/>
    <m/>
    <m/>
    <m/>
    <m/>
  </r>
  <r>
    <m/>
    <x v="14"/>
    <x v="14"/>
    <x v="2"/>
    <m/>
    <m/>
    <m/>
    <m/>
    <m/>
    <m/>
    <m/>
    <m/>
    <m/>
    <m/>
    <m/>
    <m/>
    <m/>
    <m/>
    <m/>
    <m/>
    <m/>
    <m/>
    <m/>
    <m/>
    <m/>
    <m/>
  </r>
  <r>
    <m/>
    <x v="14"/>
    <x v="14"/>
    <x v="2"/>
    <m/>
    <m/>
    <m/>
    <m/>
    <m/>
    <m/>
    <m/>
    <m/>
    <m/>
    <m/>
    <m/>
    <m/>
    <m/>
    <m/>
    <m/>
    <m/>
    <m/>
    <m/>
    <m/>
    <m/>
    <m/>
    <m/>
  </r>
  <r>
    <m/>
    <x v="14"/>
    <x v="14"/>
    <x v="2"/>
    <m/>
    <m/>
    <m/>
    <m/>
    <m/>
    <m/>
    <m/>
    <m/>
    <m/>
    <m/>
    <m/>
    <m/>
    <m/>
    <m/>
    <m/>
    <m/>
    <m/>
    <m/>
    <m/>
    <m/>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1">
  <r>
    <n v="201"/>
    <x v="0"/>
    <n v="1"/>
    <n v="101"/>
    <n v="20"/>
    <n v="801"/>
    <x v="0"/>
    <s v="住居"/>
    <n v="50000"/>
    <n v="3000"/>
    <n v="0"/>
    <n v="53000"/>
    <n v="53000"/>
    <m/>
    <m/>
    <m/>
  </r>
  <r>
    <n v="201"/>
    <x v="0"/>
    <n v="2"/>
    <n v="102"/>
    <n v="20"/>
    <n v="801"/>
    <x v="0"/>
    <s v="住居"/>
    <n v="50000"/>
    <n v="3000"/>
    <n v="0"/>
    <n v="53000"/>
    <n v="53000"/>
    <m/>
    <m/>
    <m/>
  </r>
  <r>
    <n v="201"/>
    <x v="0"/>
    <n v="3"/>
    <n v="103"/>
    <n v="20"/>
    <n v="801"/>
    <x v="0"/>
    <s v="住居"/>
    <n v="0"/>
    <n v="0"/>
    <n v="0"/>
    <n v="0"/>
    <n v="60000"/>
    <m/>
    <n v="1"/>
    <s v="オーナー自己使用"/>
  </r>
  <r>
    <n v="201"/>
    <x v="0"/>
    <n v="4"/>
    <n v="201"/>
    <n v="20"/>
    <n v="801"/>
    <x v="0"/>
    <s v="住居"/>
    <n v="0"/>
    <n v="0"/>
    <n v="0"/>
    <n v="0"/>
    <n v="60000"/>
    <n v="1"/>
    <m/>
    <s v="再募集中"/>
  </r>
  <r>
    <n v="201"/>
    <x v="0"/>
    <n v="5"/>
    <n v="202"/>
    <n v="20"/>
    <n v="801"/>
    <x v="0"/>
    <s v="住居"/>
    <n v="50000"/>
    <n v="3000"/>
    <n v="0"/>
    <n v="53000"/>
    <n v="53000"/>
    <m/>
    <m/>
    <m/>
  </r>
  <r>
    <n v="201"/>
    <x v="0"/>
    <n v="6"/>
    <n v="203"/>
    <n v="20"/>
    <n v="807"/>
    <x v="1"/>
    <s v="事務所/店舗"/>
    <n v="50000"/>
    <n v="0"/>
    <n v="4000"/>
    <n v="54000"/>
    <n v="54000"/>
    <m/>
    <m/>
    <m/>
  </r>
  <r>
    <n v="201"/>
    <x v="0"/>
    <n v="7"/>
    <n v="301"/>
    <n v="20"/>
    <n v="803"/>
    <x v="2"/>
    <s v="事務所/店舗"/>
    <n v="800000"/>
    <n v="0"/>
    <n v="64000"/>
    <n v="864000"/>
    <n v="864000"/>
    <m/>
    <m/>
    <m/>
  </r>
  <r>
    <n v="201"/>
    <x v="0"/>
    <n v="8"/>
    <n v="302"/>
    <n v="20"/>
    <n v="802"/>
    <x v="3"/>
    <s v="事務所/店舗"/>
    <n v="250000"/>
    <n v="0"/>
    <n v="20000"/>
    <n v="270000"/>
    <n v="270000"/>
    <m/>
    <m/>
    <m/>
  </r>
  <r>
    <n v="201"/>
    <x v="0"/>
    <n v="9"/>
    <s v="401"/>
    <n v="20"/>
    <n v="808"/>
    <x v="4"/>
    <s v="オペレーショナル"/>
    <n v="52000"/>
    <n v="3000"/>
    <n v="0"/>
    <n v="55000"/>
    <n v="55000"/>
    <m/>
    <m/>
    <m/>
  </r>
  <r>
    <n v="201"/>
    <x v="0"/>
    <n v="10"/>
    <s v="402"/>
    <n v="20"/>
    <n v="809"/>
    <x v="5"/>
    <s v="オペレーショナル"/>
    <n v="52000"/>
    <n v="3000"/>
    <n v="0"/>
    <n v="55000"/>
    <n v="55000"/>
    <m/>
    <m/>
    <m/>
  </r>
  <r>
    <n v="201"/>
    <x v="0"/>
    <n v="11"/>
    <s v="RF"/>
    <s v="-"/>
    <n v="805"/>
    <x v="6"/>
    <s v="その他"/>
    <n v="67000"/>
    <n v="3000"/>
    <n v="0"/>
    <n v="70000"/>
    <n v="70000"/>
    <m/>
    <m/>
    <m/>
  </r>
  <r>
    <n v="201"/>
    <x v="0"/>
    <n v="12"/>
    <s v="P1"/>
    <s v="-"/>
    <n v="804"/>
    <x v="7"/>
    <s v="駐車場"/>
    <n v="30000"/>
    <n v="0"/>
    <n v="2400"/>
    <n v="32400"/>
    <n v="32400"/>
    <m/>
    <m/>
    <m/>
  </r>
  <r>
    <n v="201"/>
    <x v="0"/>
    <n v="13"/>
    <s v="P2"/>
    <s v="-"/>
    <n v="804"/>
    <x v="7"/>
    <s v="駐車場"/>
    <n v="30000"/>
    <n v="0"/>
    <n v="2400"/>
    <n v="32400"/>
    <n v="32400"/>
    <m/>
    <m/>
    <m/>
  </r>
  <r>
    <n v="201"/>
    <x v="0"/>
    <n v="14"/>
    <s v="P3"/>
    <s v="-"/>
    <n v="804"/>
    <x v="7"/>
    <s v="駐車場"/>
    <n v="30000"/>
    <n v="0"/>
    <n v="2400"/>
    <n v="32400"/>
    <n v="32400"/>
    <m/>
    <m/>
    <m/>
  </r>
  <r>
    <n v="201"/>
    <x v="0"/>
    <n v="15"/>
    <s v="X1"/>
    <s v="-"/>
    <n v="806"/>
    <x v="8"/>
    <s v="その他"/>
    <n v="30000"/>
    <n v="0"/>
    <n v="2400"/>
    <n v="32400"/>
    <n v="32400"/>
    <m/>
    <m/>
    <m/>
  </r>
  <r>
    <n v="202"/>
    <x v="1"/>
    <n v="1"/>
    <n v="101"/>
    <n v="20"/>
    <n v="801"/>
    <x v="0"/>
    <s v="住居"/>
    <n v="50000"/>
    <n v="3000"/>
    <n v="0"/>
    <n v="53000"/>
    <n v="53000"/>
    <m/>
    <m/>
    <m/>
  </r>
  <r>
    <n v="202"/>
    <x v="1"/>
    <n v="2"/>
    <n v="102"/>
    <n v="20"/>
    <n v="801"/>
    <x v="0"/>
    <s v="住居"/>
    <n v="50000"/>
    <n v="3000"/>
    <n v="0"/>
    <n v="53000"/>
    <n v="53000"/>
    <m/>
    <m/>
    <m/>
  </r>
  <r>
    <n v="202"/>
    <x v="1"/>
    <n v="3"/>
    <n v="103"/>
    <n v="20"/>
    <n v="801"/>
    <x v="0"/>
    <s v="住居"/>
    <n v="0"/>
    <n v="0"/>
    <n v="0"/>
    <n v="0"/>
    <n v="60000"/>
    <n v="1"/>
    <m/>
    <s v="再募集中"/>
  </r>
  <r>
    <n v="202"/>
    <x v="1"/>
    <n v="4"/>
    <n v="201"/>
    <n v="20"/>
    <n v="801"/>
    <x v="0"/>
    <s v="住居"/>
    <n v="0"/>
    <n v="0"/>
    <n v="0"/>
    <n v="0"/>
    <n v="60000"/>
    <n v="1"/>
    <m/>
    <s v="再募集中"/>
  </r>
  <r>
    <n v="202"/>
    <x v="1"/>
    <n v="5"/>
    <n v="202"/>
    <n v="20"/>
    <n v="801"/>
    <x v="0"/>
    <s v="住居"/>
    <n v="50000"/>
    <n v="3000"/>
    <n v="0"/>
    <n v="53000"/>
    <n v="53000"/>
    <m/>
    <m/>
    <m/>
  </r>
  <r>
    <n v="202"/>
    <x v="1"/>
    <n v="6"/>
    <n v="203"/>
    <n v="20"/>
    <n v="807"/>
    <x v="1"/>
    <s v="事務所/店舗"/>
    <n v="50000"/>
    <n v="0"/>
    <n v="4000"/>
    <n v="54000"/>
    <n v="54000"/>
    <m/>
    <m/>
    <m/>
  </r>
  <r>
    <n v="202"/>
    <x v="1"/>
    <n v="7"/>
    <n v="301"/>
    <n v="20"/>
    <n v="803"/>
    <x v="2"/>
    <s v="事務所/店舗"/>
    <n v="800000"/>
    <n v="0"/>
    <n v="64000"/>
    <n v="864000"/>
    <n v="864000"/>
    <m/>
    <m/>
    <m/>
  </r>
  <r>
    <n v="202"/>
    <x v="1"/>
    <n v="8"/>
    <n v="302"/>
    <n v="20"/>
    <n v="802"/>
    <x v="3"/>
    <s v="事務所/店舗"/>
    <n v="250000"/>
    <n v="0"/>
    <n v="20000"/>
    <n v="270000"/>
    <n v="270000"/>
    <m/>
    <m/>
    <m/>
  </r>
  <r>
    <n v="202"/>
    <x v="1"/>
    <n v="9"/>
    <s v="401"/>
    <n v="20"/>
    <n v="808"/>
    <x v="4"/>
    <s v="オペレーショナル"/>
    <n v="52000"/>
    <n v="3000"/>
    <n v="0"/>
    <n v="55000"/>
    <n v="55000"/>
    <m/>
    <m/>
    <m/>
  </r>
  <r>
    <n v="202"/>
    <x v="1"/>
    <n v="10"/>
    <s v="402"/>
    <n v="20"/>
    <n v="809"/>
    <x v="5"/>
    <s v="オペレーショナル"/>
    <n v="52000"/>
    <n v="3000"/>
    <n v="0"/>
    <n v="55000"/>
    <n v="55000"/>
    <m/>
    <m/>
    <m/>
  </r>
  <r>
    <n v="202"/>
    <x v="1"/>
    <n v="11"/>
    <s v="RF"/>
    <s v="-"/>
    <n v="805"/>
    <x v="6"/>
    <s v="その他"/>
    <n v="67000"/>
    <n v="3000"/>
    <n v="0"/>
    <n v="70000"/>
    <n v="70000"/>
    <m/>
    <m/>
    <m/>
  </r>
  <r>
    <n v="202"/>
    <x v="1"/>
    <n v="12"/>
    <s v="P1"/>
    <s v="-"/>
    <n v="804"/>
    <x v="7"/>
    <s v="駐車場"/>
    <n v="30000"/>
    <n v="0"/>
    <n v="2400"/>
    <n v="32400"/>
    <n v="32400"/>
    <m/>
    <m/>
    <m/>
  </r>
  <r>
    <n v="202"/>
    <x v="1"/>
    <n v="13"/>
    <s v="P2"/>
    <s v="-"/>
    <n v="804"/>
    <x v="7"/>
    <s v="駐車場"/>
    <n v="30000"/>
    <n v="0"/>
    <n v="2400"/>
    <n v="32400"/>
    <n v="32400"/>
    <m/>
    <m/>
    <m/>
  </r>
  <r>
    <n v="202"/>
    <x v="1"/>
    <n v="14"/>
    <s v="P3"/>
    <s v="-"/>
    <n v="804"/>
    <x v="7"/>
    <s v="駐車場"/>
    <n v="30000"/>
    <n v="0"/>
    <n v="2400"/>
    <n v="32400"/>
    <n v="32400"/>
    <m/>
    <m/>
    <m/>
  </r>
  <r>
    <n v="203"/>
    <x v="2"/>
    <n v="1"/>
    <n v="101"/>
    <n v="20"/>
    <n v="801"/>
    <x v="0"/>
    <s v="住居"/>
    <n v="50000"/>
    <n v="3000"/>
    <n v="0"/>
    <n v="53000"/>
    <n v="53000"/>
    <m/>
    <m/>
    <m/>
  </r>
  <r>
    <n v="203"/>
    <x v="2"/>
    <n v="2"/>
    <n v="102"/>
    <n v="20"/>
    <n v="801"/>
    <x v="0"/>
    <s v="住居"/>
    <n v="50000"/>
    <n v="3000"/>
    <n v="0"/>
    <n v="53000"/>
    <n v="53000"/>
    <m/>
    <m/>
    <m/>
  </r>
  <r>
    <n v="203"/>
    <x v="2"/>
    <n v="3"/>
    <n v="103"/>
    <n v="20"/>
    <n v="801"/>
    <x v="0"/>
    <s v="住居"/>
    <n v="0"/>
    <n v="0"/>
    <n v="0"/>
    <n v="0"/>
    <n v="60000"/>
    <n v="1"/>
    <m/>
    <s v="再募集中"/>
  </r>
  <r>
    <n v="203"/>
    <x v="2"/>
    <n v="4"/>
    <n v="201"/>
    <n v="20"/>
    <n v="801"/>
    <x v="0"/>
    <s v="住居"/>
    <n v="0"/>
    <n v="0"/>
    <n v="0"/>
    <n v="0"/>
    <n v="60000"/>
    <n v="1"/>
    <m/>
    <s v="再募集中"/>
  </r>
  <r>
    <n v="203"/>
    <x v="2"/>
    <n v="5"/>
    <n v="202"/>
    <n v="20"/>
    <n v="801"/>
    <x v="0"/>
    <s v="住居"/>
    <n v="50000"/>
    <n v="3000"/>
    <n v="0"/>
    <n v="53000"/>
    <n v="53000"/>
    <m/>
    <m/>
    <m/>
  </r>
  <r>
    <n v="203"/>
    <x v="2"/>
    <n v="6"/>
    <n v="203"/>
    <n v="20"/>
    <n v="807"/>
    <x v="1"/>
    <s v="事務所/店舗"/>
    <n v="50000"/>
    <n v="0"/>
    <n v="4000"/>
    <n v="54000"/>
    <n v="54000"/>
    <m/>
    <m/>
    <m/>
  </r>
  <r>
    <n v="203"/>
    <x v="2"/>
    <n v="7"/>
    <n v="301"/>
    <n v="20"/>
    <n v="803"/>
    <x v="2"/>
    <s v="事務所/店舗"/>
    <n v="800000"/>
    <n v="0"/>
    <n v="64000"/>
    <n v="864000"/>
    <n v="864000"/>
    <m/>
    <m/>
    <m/>
  </r>
  <r>
    <n v="203"/>
    <x v="2"/>
    <n v="8"/>
    <n v="302"/>
    <n v="20"/>
    <n v="802"/>
    <x v="3"/>
    <s v="事務所/店舗"/>
    <n v="250000"/>
    <n v="0"/>
    <n v="20000"/>
    <n v="270000"/>
    <n v="270000"/>
    <m/>
    <m/>
    <m/>
  </r>
  <r>
    <n v="203"/>
    <x v="2"/>
    <n v="9"/>
    <s v="401"/>
    <n v="20"/>
    <n v="808"/>
    <x v="4"/>
    <s v="オペレーショナル"/>
    <n v="52000"/>
    <n v="3000"/>
    <n v="0"/>
    <n v="55000"/>
    <n v="55000"/>
    <m/>
    <m/>
    <m/>
  </r>
  <r>
    <n v="203"/>
    <x v="2"/>
    <n v="10"/>
    <s v="402"/>
    <n v="20"/>
    <n v="809"/>
    <x v="5"/>
    <s v="オペレーショナル"/>
    <n v="52000"/>
    <n v="3000"/>
    <n v="0"/>
    <n v="55000"/>
    <n v="55000"/>
    <m/>
    <m/>
    <m/>
  </r>
  <r>
    <n v="203"/>
    <x v="2"/>
    <n v="11"/>
    <s v="RF"/>
    <s v="-"/>
    <n v="805"/>
    <x v="6"/>
    <s v="その他"/>
    <n v="67000"/>
    <n v="3000"/>
    <n v="0"/>
    <n v="70000"/>
    <n v="70000"/>
    <m/>
    <m/>
    <m/>
  </r>
  <r>
    <n v="203"/>
    <x v="2"/>
    <n v="12"/>
    <s v="P1"/>
    <s v="-"/>
    <n v="804"/>
    <x v="7"/>
    <s v="駐車場"/>
    <n v="30000"/>
    <n v="0"/>
    <n v="2400"/>
    <n v="32400"/>
    <n v="32400"/>
    <m/>
    <m/>
    <m/>
  </r>
  <r>
    <n v="203"/>
    <x v="2"/>
    <n v="13"/>
    <s v="P2"/>
    <s v="-"/>
    <n v="804"/>
    <x v="7"/>
    <s v="駐車場"/>
    <n v="30000"/>
    <n v="0"/>
    <n v="2400"/>
    <n v="32400"/>
    <n v="32400"/>
    <m/>
    <m/>
    <m/>
  </r>
  <r>
    <n v="203"/>
    <x v="2"/>
    <n v="14"/>
    <s v="P3"/>
    <s v="-"/>
    <n v="804"/>
    <x v="7"/>
    <s v="駐車場"/>
    <n v="30000"/>
    <n v="0"/>
    <n v="2400"/>
    <n v="32400"/>
    <n v="32400"/>
    <m/>
    <m/>
    <m/>
  </r>
  <r>
    <n v="204"/>
    <x v="3"/>
    <n v="1"/>
    <n v="101"/>
    <n v="20"/>
    <n v="801"/>
    <x v="0"/>
    <s v="住居"/>
    <n v="50000"/>
    <n v="3000"/>
    <n v="0"/>
    <n v="53000"/>
    <n v="53000"/>
    <m/>
    <m/>
    <m/>
  </r>
  <r>
    <n v="204"/>
    <x v="3"/>
    <n v="2"/>
    <n v="102"/>
    <n v="20"/>
    <n v="801"/>
    <x v="0"/>
    <s v="住居"/>
    <n v="50000"/>
    <n v="3000"/>
    <n v="0"/>
    <n v="53000"/>
    <n v="53000"/>
    <m/>
    <m/>
    <m/>
  </r>
  <r>
    <n v="204"/>
    <x v="3"/>
    <n v="3"/>
    <n v="103"/>
    <n v="20"/>
    <n v="801"/>
    <x v="0"/>
    <s v="住居"/>
    <n v="0"/>
    <n v="0"/>
    <n v="0"/>
    <n v="0"/>
    <n v="60000"/>
    <n v="1"/>
    <m/>
    <s v="再募集中"/>
  </r>
  <r>
    <n v="204"/>
    <x v="3"/>
    <n v="4"/>
    <n v="201"/>
    <n v="20"/>
    <n v="801"/>
    <x v="0"/>
    <s v="住居"/>
    <n v="0"/>
    <n v="0"/>
    <n v="0"/>
    <n v="0"/>
    <n v="60000"/>
    <n v="1"/>
    <m/>
    <s v="再募集中"/>
  </r>
  <r>
    <n v="204"/>
    <x v="3"/>
    <n v="5"/>
    <n v="202"/>
    <n v="20"/>
    <n v="801"/>
    <x v="0"/>
    <s v="住居"/>
    <n v="50000"/>
    <n v="3000"/>
    <n v="0"/>
    <n v="53000"/>
    <n v="53000"/>
    <m/>
    <m/>
    <m/>
  </r>
  <r>
    <n v="204"/>
    <x v="3"/>
    <n v="6"/>
    <n v="203"/>
    <n v="20"/>
    <n v="807"/>
    <x v="1"/>
    <s v="事務所/店舗"/>
    <n v="50000"/>
    <n v="0"/>
    <n v="4000"/>
    <n v="54000"/>
    <n v="54000"/>
    <m/>
    <m/>
    <m/>
  </r>
  <r>
    <n v="204"/>
    <x v="3"/>
    <n v="7"/>
    <n v="301"/>
    <n v="20"/>
    <n v="803"/>
    <x v="2"/>
    <s v="事務所/店舗"/>
    <n v="800000"/>
    <n v="0"/>
    <n v="64000"/>
    <n v="864000"/>
    <n v="864000"/>
    <m/>
    <m/>
    <m/>
  </r>
  <r>
    <n v="204"/>
    <x v="3"/>
    <n v="8"/>
    <n v="302"/>
    <n v="20"/>
    <n v="802"/>
    <x v="3"/>
    <s v="事務所/店舗"/>
    <n v="250000"/>
    <n v="0"/>
    <n v="20000"/>
    <n v="270000"/>
    <n v="270000"/>
    <m/>
    <m/>
    <m/>
  </r>
  <r>
    <n v="204"/>
    <x v="3"/>
    <n v="9"/>
    <s v="401"/>
    <n v="20"/>
    <n v="808"/>
    <x v="4"/>
    <s v="オペレーショナル"/>
    <n v="52000"/>
    <n v="3000"/>
    <n v="0"/>
    <n v="55000"/>
    <n v="55000"/>
    <m/>
    <m/>
    <m/>
  </r>
  <r>
    <n v="204"/>
    <x v="3"/>
    <n v="10"/>
    <s v="402"/>
    <n v="20"/>
    <n v="809"/>
    <x v="5"/>
    <s v="オペレーショナル"/>
    <n v="52000"/>
    <n v="3000"/>
    <n v="0"/>
    <n v="55000"/>
    <n v="55000"/>
    <m/>
    <m/>
    <m/>
  </r>
  <r>
    <n v="204"/>
    <x v="3"/>
    <n v="11"/>
    <s v="RF"/>
    <s v="-"/>
    <n v="805"/>
    <x v="6"/>
    <s v="その他"/>
    <n v="67000"/>
    <n v="3000"/>
    <n v="0"/>
    <n v="70000"/>
    <n v="70000"/>
    <m/>
    <m/>
    <m/>
  </r>
  <r>
    <n v="204"/>
    <x v="3"/>
    <n v="12"/>
    <s v="P1"/>
    <s v="-"/>
    <n v="804"/>
    <x v="7"/>
    <s v="駐車場"/>
    <n v="30000"/>
    <n v="0"/>
    <n v="2400"/>
    <n v="32400"/>
    <n v="32400"/>
    <m/>
    <m/>
    <m/>
  </r>
  <r>
    <n v="204"/>
    <x v="3"/>
    <n v="13"/>
    <s v="P2"/>
    <s v="-"/>
    <n v="804"/>
    <x v="7"/>
    <s v="駐車場"/>
    <n v="30000"/>
    <n v="0"/>
    <n v="2400"/>
    <n v="32400"/>
    <n v="32400"/>
    <m/>
    <m/>
    <m/>
  </r>
  <r>
    <n v="204"/>
    <x v="3"/>
    <n v="14"/>
    <s v="P3"/>
    <s v="-"/>
    <n v="804"/>
    <x v="7"/>
    <s v="駐車場"/>
    <n v="30000"/>
    <n v="0"/>
    <n v="2400"/>
    <n v="32400"/>
    <n v="32400"/>
    <m/>
    <m/>
    <m/>
  </r>
  <r>
    <n v="205"/>
    <x v="4"/>
    <n v="1"/>
    <n v="101"/>
    <n v="20"/>
    <n v="801"/>
    <x v="0"/>
    <s v="住居"/>
    <n v="50000"/>
    <n v="3000"/>
    <n v="0"/>
    <n v="53000"/>
    <n v="53000"/>
    <m/>
    <m/>
    <m/>
  </r>
  <r>
    <n v="205"/>
    <x v="4"/>
    <n v="2"/>
    <n v="102"/>
    <n v="20"/>
    <n v="801"/>
    <x v="0"/>
    <s v="住居"/>
    <n v="50000"/>
    <n v="3000"/>
    <n v="0"/>
    <n v="53000"/>
    <n v="53000"/>
    <m/>
    <m/>
    <m/>
  </r>
  <r>
    <n v="205"/>
    <x v="4"/>
    <n v="3"/>
    <n v="103"/>
    <n v="20"/>
    <n v="801"/>
    <x v="0"/>
    <s v="住居"/>
    <n v="0"/>
    <n v="0"/>
    <n v="0"/>
    <n v="0"/>
    <n v="60000"/>
    <n v="1"/>
    <m/>
    <s v="再募集中"/>
  </r>
  <r>
    <n v="205"/>
    <x v="4"/>
    <n v="4"/>
    <n v="201"/>
    <n v="20"/>
    <n v="801"/>
    <x v="0"/>
    <s v="住居"/>
    <n v="0"/>
    <n v="0"/>
    <n v="0"/>
    <n v="0"/>
    <n v="60000"/>
    <n v="1"/>
    <m/>
    <s v="再募集中"/>
  </r>
  <r>
    <n v="205"/>
    <x v="4"/>
    <n v="5"/>
    <n v="202"/>
    <n v="20"/>
    <n v="801"/>
    <x v="0"/>
    <s v="住居"/>
    <n v="50000"/>
    <n v="3000"/>
    <n v="0"/>
    <n v="53000"/>
    <n v="53000"/>
    <m/>
    <m/>
    <m/>
  </r>
  <r>
    <n v="205"/>
    <x v="4"/>
    <n v="6"/>
    <n v="203"/>
    <n v="20"/>
    <n v="807"/>
    <x v="1"/>
    <s v="事務所/店舗"/>
    <n v="50000"/>
    <n v="0"/>
    <n v="4000"/>
    <n v="54000"/>
    <n v="54000"/>
    <m/>
    <m/>
    <m/>
  </r>
  <r>
    <n v="205"/>
    <x v="4"/>
    <n v="7"/>
    <n v="301"/>
    <n v="20"/>
    <n v="803"/>
    <x v="2"/>
    <s v="事務所/店舗"/>
    <n v="800000"/>
    <n v="0"/>
    <n v="64000"/>
    <n v="864000"/>
    <n v="864000"/>
    <m/>
    <m/>
    <m/>
  </r>
  <r>
    <n v="205"/>
    <x v="4"/>
    <n v="8"/>
    <n v="302"/>
    <n v="20"/>
    <n v="802"/>
    <x v="3"/>
    <s v="事務所/店舗"/>
    <n v="250000"/>
    <n v="0"/>
    <n v="20000"/>
    <n v="270000"/>
    <n v="270000"/>
    <m/>
    <m/>
    <m/>
  </r>
  <r>
    <n v="205"/>
    <x v="4"/>
    <n v="9"/>
    <s v="401"/>
    <n v="20"/>
    <n v="808"/>
    <x v="4"/>
    <s v="オペレーショナル"/>
    <n v="52000"/>
    <n v="3000"/>
    <n v="0"/>
    <n v="55000"/>
    <n v="55000"/>
    <m/>
    <m/>
    <m/>
  </r>
  <r>
    <n v="205"/>
    <x v="4"/>
    <n v="10"/>
    <s v="402"/>
    <n v="20"/>
    <n v="809"/>
    <x v="5"/>
    <s v="オペレーショナル"/>
    <n v="52000"/>
    <n v="3000"/>
    <n v="0"/>
    <n v="55000"/>
    <n v="55000"/>
    <m/>
    <m/>
    <m/>
  </r>
  <r>
    <n v="205"/>
    <x v="4"/>
    <n v="11"/>
    <s v="RF"/>
    <s v="-"/>
    <n v="805"/>
    <x v="6"/>
    <s v="その他"/>
    <n v="67000"/>
    <n v="3000"/>
    <n v="0"/>
    <n v="70000"/>
    <n v="70000"/>
    <m/>
    <m/>
    <m/>
  </r>
  <r>
    <n v="205"/>
    <x v="4"/>
    <n v="12"/>
    <s v="P1"/>
    <s v="-"/>
    <n v="804"/>
    <x v="7"/>
    <s v="駐車場"/>
    <n v="30000"/>
    <n v="0"/>
    <n v="2400"/>
    <n v="32400"/>
    <n v="32400"/>
    <m/>
    <m/>
    <m/>
  </r>
  <r>
    <n v="205"/>
    <x v="4"/>
    <n v="13"/>
    <s v="P2"/>
    <s v="-"/>
    <n v="804"/>
    <x v="7"/>
    <s v="駐車場"/>
    <n v="30000"/>
    <n v="0"/>
    <n v="2400"/>
    <n v="32400"/>
    <n v="32400"/>
    <m/>
    <m/>
    <m/>
  </r>
  <r>
    <n v="205"/>
    <x v="4"/>
    <n v="14"/>
    <s v="P3"/>
    <s v="-"/>
    <n v="804"/>
    <x v="7"/>
    <s v="駐車場"/>
    <n v="30000"/>
    <n v="0"/>
    <n v="2400"/>
    <n v="32400"/>
    <n v="32400"/>
    <m/>
    <m/>
    <m/>
  </r>
  <r>
    <n v="206"/>
    <x v="5"/>
    <n v="1"/>
    <n v="101"/>
    <n v="20"/>
    <n v="801"/>
    <x v="0"/>
    <s v="住居"/>
    <n v="50000"/>
    <n v="3000"/>
    <n v="0"/>
    <n v="53000"/>
    <n v="53000"/>
    <m/>
    <m/>
    <m/>
  </r>
  <r>
    <n v="206"/>
    <x v="5"/>
    <n v="2"/>
    <n v="102"/>
    <n v="20"/>
    <n v="801"/>
    <x v="0"/>
    <s v="住居"/>
    <n v="50000"/>
    <n v="3000"/>
    <n v="0"/>
    <n v="53000"/>
    <n v="53000"/>
    <m/>
    <m/>
    <m/>
  </r>
  <r>
    <n v="206"/>
    <x v="5"/>
    <n v="3"/>
    <n v="103"/>
    <n v="20"/>
    <n v="801"/>
    <x v="0"/>
    <s v="住居"/>
    <n v="0"/>
    <n v="0"/>
    <n v="0"/>
    <n v="0"/>
    <n v="60000"/>
    <n v="1"/>
    <m/>
    <s v="再募集中"/>
  </r>
  <r>
    <n v="206"/>
    <x v="5"/>
    <n v="4"/>
    <n v="201"/>
    <n v="20"/>
    <n v="801"/>
    <x v="0"/>
    <s v="住居"/>
    <n v="0"/>
    <n v="0"/>
    <n v="0"/>
    <n v="0"/>
    <n v="60000"/>
    <n v="1"/>
    <m/>
    <s v="再募集中"/>
  </r>
  <r>
    <n v="206"/>
    <x v="5"/>
    <n v="5"/>
    <n v="202"/>
    <n v="20"/>
    <n v="801"/>
    <x v="0"/>
    <s v="住居"/>
    <n v="50000"/>
    <n v="3000"/>
    <n v="0"/>
    <n v="53000"/>
    <n v="53000"/>
    <m/>
    <m/>
    <m/>
  </r>
  <r>
    <n v="206"/>
    <x v="5"/>
    <n v="6"/>
    <n v="203"/>
    <n v="20"/>
    <n v="807"/>
    <x v="1"/>
    <s v="事務所/店舗"/>
    <n v="50000"/>
    <n v="0"/>
    <n v="4000"/>
    <n v="54000"/>
    <n v="54000"/>
    <m/>
    <m/>
    <m/>
  </r>
  <r>
    <n v="206"/>
    <x v="5"/>
    <n v="7"/>
    <n v="301"/>
    <n v="20"/>
    <n v="803"/>
    <x v="2"/>
    <s v="事務所/店舗"/>
    <n v="800000"/>
    <n v="0"/>
    <n v="64000"/>
    <n v="864000"/>
    <n v="864000"/>
    <m/>
    <m/>
    <m/>
  </r>
  <r>
    <n v="206"/>
    <x v="5"/>
    <n v="8"/>
    <n v="302"/>
    <n v="20"/>
    <n v="802"/>
    <x v="3"/>
    <s v="事務所/店舗"/>
    <n v="250000"/>
    <n v="0"/>
    <n v="20000"/>
    <n v="270000"/>
    <n v="270000"/>
    <m/>
    <m/>
    <m/>
  </r>
  <r>
    <n v="206"/>
    <x v="5"/>
    <n v="9"/>
    <s v="401"/>
    <n v="20"/>
    <n v="808"/>
    <x v="4"/>
    <s v="オペレーショナル"/>
    <n v="52000"/>
    <n v="3000"/>
    <n v="0"/>
    <n v="55000"/>
    <n v="55000"/>
    <m/>
    <m/>
    <m/>
  </r>
  <r>
    <n v="206"/>
    <x v="5"/>
    <n v="10"/>
    <s v="402"/>
    <n v="20"/>
    <n v="809"/>
    <x v="5"/>
    <s v="オペレーショナル"/>
    <n v="52000"/>
    <n v="3000"/>
    <n v="0"/>
    <n v="55000"/>
    <n v="55000"/>
    <m/>
    <m/>
    <m/>
  </r>
  <r>
    <n v="206"/>
    <x v="5"/>
    <n v="11"/>
    <s v="RF"/>
    <s v="-"/>
    <n v="805"/>
    <x v="6"/>
    <s v="その他"/>
    <n v="67000"/>
    <n v="3000"/>
    <n v="0"/>
    <n v="70000"/>
    <n v="70000"/>
    <m/>
    <m/>
    <m/>
  </r>
  <r>
    <n v="206"/>
    <x v="5"/>
    <n v="12"/>
    <s v="P1"/>
    <s v="-"/>
    <n v="804"/>
    <x v="7"/>
    <s v="駐車場"/>
    <n v="30000"/>
    <n v="0"/>
    <n v="2400"/>
    <n v="32400"/>
    <n v="32400"/>
    <m/>
    <m/>
    <m/>
  </r>
  <r>
    <n v="206"/>
    <x v="5"/>
    <n v="13"/>
    <s v="P2"/>
    <s v="-"/>
    <n v="804"/>
    <x v="7"/>
    <s v="駐車場"/>
    <n v="30000"/>
    <n v="0"/>
    <n v="2400"/>
    <n v="32400"/>
    <n v="32400"/>
    <m/>
    <m/>
    <m/>
  </r>
  <r>
    <n v="206"/>
    <x v="5"/>
    <n v="14"/>
    <s v="P3"/>
    <s v="-"/>
    <n v="804"/>
    <x v="7"/>
    <s v="駐車場"/>
    <n v="30000"/>
    <n v="0"/>
    <n v="2400"/>
    <n v="32400"/>
    <n v="32400"/>
    <m/>
    <m/>
    <m/>
  </r>
  <r>
    <n v="207"/>
    <x v="6"/>
    <n v="1"/>
    <n v="101"/>
    <n v="20"/>
    <n v="801"/>
    <x v="0"/>
    <s v="住居"/>
    <n v="50000"/>
    <n v="3000"/>
    <n v="0"/>
    <n v="53000"/>
    <n v="53000"/>
    <m/>
    <m/>
    <m/>
  </r>
  <r>
    <n v="207"/>
    <x v="6"/>
    <n v="2"/>
    <n v="102"/>
    <n v="20"/>
    <n v="801"/>
    <x v="0"/>
    <s v="住居"/>
    <n v="50000"/>
    <n v="3000"/>
    <n v="0"/>
    <n v="53000"/>
    <n v="53000"/>
    <m/>
    <m/>
    <m/>
  </r>
  <r>
    <n v="207"/>
    <x v="6"/>
    <n v="3"/>
    <n v="103"/>
    <n v="20"/>
    <n v="801"/>
    <x v="0"/>
    <s v="住居"/>
    <n v="0"/>
    <n v="0"/>
    <n v="0"/>
    <n v="0"/>
    <n v="60000"/>
    <n v="1"/>
    <m/>
    <s v="再募集中"/>
  </r>
  <r>
    <n v="207"/>
    <x v="6"/>
    <n v="4"/>
    <n v="201"/>
    <n v="20"/>
    <n v="801"/>
    <x v="0"/>
    <s v="住居"/>
    <n v="0"/>
    <n v="0"/>
    <n v="0"/>
    <n v="0"/>
    <n v="60000"/>
    <n v="1"/>
    <m/>
    <s v="再募集中"/>
  </r>
  <r>
    <n v="207"/>
    <x v="6"/>
    <n v="5"/>
    <n v="202"/>
    <n v="20"/>
    <n v="801"/>
    <x v="0"/>
    <s v="住居"/>
    <n v="50000"/>
    <n v="3000"/>
    <n v="0"/>
    <n v="53000"/>
    <n v="53000"/>
    <m/>
    <m/>
    <m/>
  </r>
  <r>
    <n v="207"/>
    <x v="6"/>
    <n v="6"/>
    <n v="203"/>
    <n v="20"/>
    <n v="807"/>
    <x v="1"/>
    <s v="事務所/店舗"/>
    <n v="50000"/>
    <n v="0"/>
    <n v="4000"/>
    <n v="54000"/>
    <n v="54000"/>
    <m/>
    <m/>
    <m/>
  </r>
  <r>
    <n v="207"/>
    <x v="6"/>
    <n v="7"/>
    <n v="301"/>
    <n v="20"/>
    <n v="803"/>
    <x v="2"/>
    <s v="事務所/店舗"/>
    <n v="800000"/>
    <n v="0"/>
    <n v="64000"/>
    <n v="864000"/>
    <n v="864000"/>
    <m/>
    <m/>
    <m/>
  </r>
  <r>
    <n v="207"/>
    <x v="6"/>
    <n v="8"/>
    <n v="302"/>
    <n v="20"/>
    <n v="802"/>
    <x v="3"/>
    <s v="事務所/店舗"/>
    <n v="250000"/>
    <n v="0"/>
    <n v="20000"/>
    <n v="270000"/>
    <n v="270000"/>
    <m/>
    <m/>
    <m/>
  </r>
  <r>
    <n v="207"/>
    <x v="6"/>
    <n v="9"/>
    <s v="401"/>
    <n v="20"/>
    <n v="808"/>
    <x v="4"/>
    <s v="オペレーショナル"/>
    <n v="52000"/>
    <n v="3000"/>
    <n v="0"/>
    <n v="55000"/>
    <n v="55000"/>
    <m/>
    <m/>
    <m/>
  </r>
  <r>
    <n v="207"/>
    <x v="6"/>
    <n v="10"/>
    <s v="402"/>
    <n v="20"/>
    <n v="809"/>
    <x v="5"/>
    <s v="オペレーショナル"/>
    <n v="52000"/>
    <n v="3000"/>
    <n v="0"/>
    <n v="55000"/>
    <n v="55000"/>
    <m/>
    <m/>
    <m/>
  </r>
  <r>
    <n v="207"/>
    <x v="6"/>
    <n v="11"/>
    <s v="RF"/>
    <s v="-"/>
    <n v="805"/>
    <x v="6"/>
    <s v="その他"/>
    <n v="67000"/>
    <n v="3000"/>
    <n v="0"/>
    <n v="70000"/>
    <n v="70000"/>
    <m/>
    <m/>
    <m/>
  </r>
  <r>
    <n v="207"/>
    <x v="6"/>
    <n v="12"/>
    <s v="P1"/>
    <s v="-"/>
    <n v="804"/>
    <x v="7"/>
    <s v="駐車場"/>
    <n v="30000"/>
    <n v="0"/>
    <n v="2400"/>
    <n v="32400"/>
    <n v="32400"/>
    <m/>
    <m/>
    <m/>
  </r>
  <r>
    <n v="207"/>
    <x v="6"/>
    <n v="13"/>
    <s v="P2"/>
    <s v="-"/>
    <n v="804"/>
    <x v="7"/>
    <s v="駐車場"/>
    <n v="30000"/>
    <n v="0"/>
    <n v="2400"/>
    <n v="32400"/>
    <n v="32400"/>
    <m/>
    <m/>
    <m/>
  </r>
  <r>
    <n v="207"/>
    <x v="6"/>
    <n v="14"/>
    <s v="P3"/>
    <s v="-"/>
    <n v="804"/>
    <x v="7"/>
    <s v="駐車場"/>
    <n v="30000"/>
    <n v="0"/>
    <n v="2400"/>
    <n v="32400"/>
    <n v="32400"/>
    <m/>
    <m/>
    <m/>
  </r>
  <r>
    <n v="208"/>
    <x v="7"/>
    <n v="1"/>
    <n v="101"/>
    <n v="20"/>
    <n v="801"/>
    <x v="0"/>
    <s v="住居"/>
    <n v="50000"/>
    <n v="3000"/>
    <n v="0"/>
    <n v="53000"/>
    <n v="53000"/>
    <m/>
    <m/>
    <m/>
  </r>
  <r>
    <n v="208"/>
    <x v="7"/>
    <n v="2"/>
    <n v="102"/>
    <n v="20"/>
    <n v="801"/>
    <x v="0"/>
    <s v="住居"/>
    <n v="50000"/>
    <n v="3000"/>
    <n v="0"/>
    <n v="53000"/>
    <n v="53000"/>
    <m/>
    <m/>
    <m/>
  </r>
  <r>
    <n v="208"/>
    <x v="7"/>
    <n v="3"/>
    <n v="103"/>
    <n v="20"/>
    <n v="801"/>
    <x v="0"/>
    <s v="住居"/>
    <n v="0"/>
    <n v="0"/>
    <n v="0"/>
    <n v="0"/>
    <n v="60000"/>
    <n v="1"/>
    <m/>
    <s v="再募集中"/>
  </r>
  <r>
    <n v="208"/>
    <x v="7"/>
    <n v="4"/>
    <n v="201"/>
    <n v="20"/>
    <n v="801"/>
    <x v="0"/>
    <s v="住居"/>
    <n v="0"/>
    <n v="0"/>
    <n v="0"/>
    <n v="0"/>
    <n v="60000"/>
    <n v="1"/>
    <m/>
    <s v="再募集中"/>
  </r>
  <r>
    <n v="208"/>
    <x v="7"/>
    <n v="5"/>
    <n v="202"/>
    <n v="20"/>
    <n v="801"/>
    <x v="0"/>
    <s v="住居"/>
    <n v="50000"/>
    <n v="3000"/>
    <n v="0"/>
    <n v="53000"/>
    <n v="53000"/>
    <m/>
    <m/>
    <m/>
  </r>
  <r>
    <n v="208"/>
    <x v="7"/>
    <n v="6"/>
    <n v="203"/>
    <n v="20"/>
    <n v="807"/>
    <x v="1"/>
    <s v="事務所/店舗"/>
    <n v="50000"/>
    <n v="0"/>
    <n v="4000"/>
    <n v="54000"/>
    <n v="54000"/>
    <m/>
    <m/>
    <m/>
  </r>
  <r>
    <n v="208"/>
    <x v="7"/>
    <n v="7"/>
    <n v="301"/>
    <n v="20"/>
    <n v="803"/>
    <x v="2"/>
    <s v="事務所/店舗"/>
    <n v="800000"/>
    <n v="0"/>
    <n v="64000"/>
    <n v="864000"/>
    <n v="864000"/>
    <m/>
    <m/>
    <m/>
  </r>
  <r>
    <n v="208"/>
    <x v="7"/>
    <n v="8"/>
    <n v="302"/>
    <n v="20"/>
    <n v="802"/>
    <x v="3"/>
    <s v="事務所/店舗"/>
    <n v="250000"/>
    <n v="0"/>
    <n v="20000"/>
    <n v="270000"/>
    <n v="270000"/>
    <m/>
    <m/>
    <m/>
  </r>
  <r>
    <n v="208"/>
    <x v="7"/>
    <n v="9"/>
    <s v="401"/>
    <n v="20"/>
    <n v="808"/>
    <x v="4"/>
    <s v="オペレーショナル"/>
    <n v="52000"/>
    <n v="3000"/>
    <n v="0"/>
    <n v="55000"/>
    <n v="55000"/>
    <m/>
    <m/>
    <m/>
  </r>
  <r>
    <n v="208"/>
    <x v="7"/>
    <n v="10"/>
    <s v="402"/>
    <n v="20"/>
    <n v="809"/>
    <x v="5"/>
    <s v="オペレーショナル"/>
    <n v="52000"/>
    <n v="3000"/>
    <n v="0"/>
    <n v="55000"/>
    <n v="55000"/>
    <m/>
    <m/>
    <m/>
  </r>
  <r>
    <n v="208"/>
    <x v="7"/>
    <n v="11"/>
    <s v="RF"/>
    <s v="-"/>
    <n v="805"/>
    <x v="6"/>
    <s v="その他"/>
    <n v="67000"/>
    <n v="3000"/>
    <n v="0"/>
    <n v="70000"/>
    <n v="70000"/>
    <m/>
    <m/>
    <m/>
  </r>
  <r>
    <n v="208"/>
    <x v="7"/>
    <n v="12"/>
    <s v="P1"/>
    <s v="-"/>
    <n v="804"/>
    <x v="7"/>
    <s v="駐車場"/>
    <n v="30000"/>
    <n v="0"/>
    <n v="2400"/>
    <n v="32400"/>
    <n v="32400"/>
    <m/>
    <m/>
    <m/>
  </r>
  <r>
    <n v="208"/>
    <x v="7"/>
    <n v="13"/>
    <s v="P2"/>
    <s v="-"/>
    <n v="804"/>
    <x v="7"/>
    <s v="駐車場"/>
    <n v="30000"/>
    <n v="0"/>
    <n v="2400"/>
    <n v="32400"/>
    <n v="32400"/>
    <m/>
    <m/>
    <m/>
  </r>
  <r>
    <n v="208"/>
    <x v="7"/>
    <n v="14"/>
    <s v="P3"/>
    <s v="-"/>
    <n v="804"/>
    <x v="7"/>
    <s v="駐車場"/>
    <n v="30000"/>
    <n v="0"/>
    <n v="2400"/>
    <n v="32400"/>
    <n v="32400"/>
    <m/>
    <m/>
    <m/>
  </r>
  <r>
    <n v="301"/>
    <x v="8"/>
    <n v="1"/>
    <n v="101"/>
    <n v="20"/>
    <n v="801"/>
    <x v="0"/>
    <s v="住居"/>
    <n v="300000"/>
    <n v="3000"/>
    <n v="0"/>
    <n v="303000"/>
    <n v="303000"/>
    <m/>
    <m/>
    <m/>
  </r>
  <r>
    <n v="302"/>
    <x v="9"/>
    <n v="1"/>
    <s v="102"/>
    <n v="30"/>
    <n v="801"/>
    <x v="0"/>
    <s v="住居"/>
    <n v="300000"/>
    <n v="5000"/>
    <n v="0"/>
    <n v="305000"/>
    <n v="305000"/>
    <m/>
    <m/>
    <m/>
  </r>
  <r>
    <n v="303"/>
    <x v="10"/>
    <n v="1"/>
    <s v="201"/>
    <n v="35"/>
    <n v="801"/>
    <x v="0"/>
    <s v="住居"/>
    <n v="300000"/>
    <n v="5000"/>
    <n v="0"/>
    <n v="305000"/>
    <n v="305000"/>
    <m/>
    <m/>
    <m/>
  </r>
  <r>
    <n v="304"/>
    <x v="11"/>
    <n v="1"/>
    <s v="202"/>
    <n v="40"/>
    <n v="801"/>
    <x v="0"/>
    <s v="住居"/>
    <n v="300000"/>
    <n v="5000"/>
    <n v="0"/>
    <n v="305000"/>
    <n v="305000"/>
    <m/>
    <m/>
    <m/>
  </r>
  <r>
    <n v="305"/>
    <x v="12"/>
    <n v="1"/>
    <s v="203"/>
    <n v="50"/>
    <n v="801"/>
    <x v="0"/>
    <s v="住居"/>
    <n v="300000"/>
    <n v="5000"/>
    <n v="0"/>
    <n v="305000"/>
    <n v="305000"/>
    <m/>
    <m/>
    <m/>
  </r>
  <r>
    <n v="306"/>
    <x v="13"/>
    <n v="1"/>
    <s v="3099"/>
    <n v="100"/>
    <n v="801"/>
    <x v="0"/>
    <s v="住居"/>
    <n v="0"/>
    <n v="0"/>
    <n v="0"/>
    <n v="0"/>
    <n v="300000"/>
    <m/>
    <n v="1"/>
    <s v="オーナー自己使用"/>
  </r>
  <r>
    <n v="306"/>
    <x v="13"/>
    <n v="1"/>
    <s v="P"/>
    <s v="-"/>
    <n v="804"/>
    <x v="7"/>
    <s v="駐車場"/>
    <n v="0"/>
    <n v="0"/>
    <n v="0"/>
    <n v="0"/>
    <n v="50000"/>
    <m/>
    <n v="1"/>
    <s v="オーナー自己使用"/>
  </r>
  <r>
    <m/>
    <x v="14"/>
    <m/>
    <m/>
    <m/>
    <m/>
    <x v="9"/>
    <m/>
    <m/>
    <m/>
    <m/>
    <m/>
    <m/>
    <m/>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1">
  <r>
    <n v="201"/>
    <x v="0"/>
    <n v="1"/>
    <n v="101"/>
    <n v="20"/>
    <n v="801"/>
    <x v="0"/>
    <s v="住居"/>
    <n v="50000"/>
    <n v="3000"/>
    <n v="0"/>
    <n v="53000"/>
    <n v="53000"/>
    <m/>
    <m/>
    <m/>
  </r>
  <r>
    <n v="201"/>
    <x v="0"/>
    <n v="2"/>
    <n v="102"/>
    <n v="20"/>
    <n v="801"/>
    <x v="0"/>
    <s v="住居"/>
    <n v="50000"/>
    <n v="3000"/>
    <n v="0"/>
    <n v="53000"/>
    <n v="53000"/>
    <m/>
    <m/>
    <m/>
  </r>
  <r>
    <n v="201"/>
    <x v="0"/>
    <n v="3"/>
    <n v="103"/>
    <n v="20"/>
    <n v="801"/>
    <x v="0"/>
    <s v="住居"/>
    <n v="0"/>
    <n v="0"/>
    <n v="0"/>
    <n v="0"/>
    <n v="60000"/>
    <m/>
    <n v="1"/>
    <s v="オーナー自己使用"/>
  </r>
  <r>
    <n v="201"/>
    <x v="0"/>
    <n v="4"/>
    <n v="201"/>
    <n v="20"/>
    <n v="801"/>
    <x v="0"/>
    <s v="住居"/>
    <n v="0"/>
    <n v="0"/>
    <n v="0"/>
    <n v="0"/>
    <n v="60000"/>
    <n v="1"/>
    <m/>
    <s v="再募集中"/>
  </r>
  <r>
    <n v="201"/>
    <x v="0"/>
    <n v="5"/>
    <n v="202"/>
    <n v="20"/>
    <n v="801"/>
    <x v="0"/>
    <s v="住居"/>
    <n v="50000"/>
    <n v="3000"/>
    <n v="0"/>
    <n v="53000"/>
    <n v="53000"/>
    <m/>
    <m/>
    <m/>
  </r>
  <r>
    <n v="201"/>
    <x v="0"/>
    <n v="6"/>
    <n v="203"/>
    <n v="20"/>
    <n v="807"/>
    <x v="1"/>
    <s v="事務所/店舗"/>
    <n v="50000"/>
    <n v="0"/>
    <n v="4000"/>
    <n v="54000"/>
    <n v="54000"/>
    <m/>
    <m/>
    <m/>
  </r>
  <r>
    <n v="201"/>
    <x v="0"/>
    <n v="7"/>
    <n v="301"/>
    <n v="20"/>
    <n v="803"/>
    <x v="2"/>
    <s v="事務所/店舗"/>
    <n v="800000"/>
    <n v="0"/>
    <n v="64000"/>
    <n v="864000"/>
    <n v="864000"/>
    <m/>
    <m/>
    <m/>
  </r>
  <r>
    <n v="201"/>
    <x v="0"/>
    <n v="8"/>
    <n v="302"/>
    <n v="20"/>
    <n v="802"/>
    <x v="3"/>
    <s v="事務所/店舗"/>
    <n v="250000"/>
    <n v="0"/>
    <n v="20000"/>
    <n v="270000"/>
    <n v="270000"/>
    <m/>
    <m/>
    <m/>
  </r>
  <r>
    <n v="201"/>
    <x v="0"/>
    <n v="9"/>
    <s v="401"/>
    <n v="20"/>
    <n v="808"/>
    <x v="4"/>
    <s v="オペレーショナル"/>
    <n v="52000"/>
    <n v="3000"/>
    <n v="0"/>
    <n v="55000"/>
    <n v="55000"/>
    <m/>
    <m/>
    <m/>
  </r>
  <r>
    <n v="201"/>
    <x v="0"/>
    <n v="10"/>
    <s v="402"/>
    <n v="20"/>
    <n v="809"/>
    <x v="5"/>
    <s v="オペレーショナル"/>
    <n v="52000"/>
    <n v="3000"/>
    <n v="0"/>
    <n v="55000"/>
    <n v="55000"/>
    <m/>
    <m/>
    <m/>
  </r>
  <r>
    <n v="201"/>
    <x v="0"/>
    <n v="11"/>
    <s v="RF"/>
    <s v="-"/>
    <n v="805"/>
    <x v="6"/>
    <s v="その他"/>
    <n v="67000"/>
    <n v="3000"/>
    <n v="0"/>
    <n v="70000"/>
    <n v="70000"/>
    <m/>
    <m/>
    <m/>
  </r>
  <r>
    <n v="201"/>
    <x v="0"/>
    <n v="12"/>
    <s v="P1"/>
    <s v="-"/>
    <n v="804"/>
    <x v="7"/>
    <s v="駐車場"/>
    <n v="30000"/>
    <n v="0"/>
    <n v="2400"/>
    <n v="32400"/>
    <n v="32400"/>
    <m/>
    <m/>
    <m/>
  </r>
  <r>
    <n v="201"/>
    <x v="0"/>
    <n v="13"/>
    <s v="P2"/>
    <s v="-"/>
    <n v="804"/>
    <x v="7"/>
    <s v="駐車場"/>
    <n v="30000"/>
    <n v="0"/>
    <n v="2400"/>
    <n v="32400"/>
    <n v="32400"/>
    <m/>
    <m/>
    <m/>
  </r>
  <r>
    <n v="201"/>
    <x v="0"/>
    <n v="14"/>
    <s v="P3"/>
    <s v="-"/>
    <n v="804"/>
    <x v="7"/>
    <s v="駐車場"/>
    <n v="30000"/>
    <n v="0"/>
    <n v="2400"/>
    <n v="32400"/>
    <n v="32400"/>
    <m/>
    <m/>
    <m/>
  </r>
  <r>
    <n v="201"/>
    <x v="0"/>
    <n v="15"/>
    <s v="X1"/>
    <s v="-"/>
    <n v="806"/>
    <x v="8"/>
    <s v="その他"/>
    <n v="30000"/>
    <n v="0"/>
    <n v="2400"/>
    <n v="32400"/>
    <n v="32400"/>
    <m/>
    <m/>
    <m/>
  </r>
  <r>
    <n v="202"/>
    <x v="1"/>
    <n v="1"/>
    <n v="101"/>
    <n v="20"/>
    <n v="801"/>
    <x v="0"/>
    <s v="住居"/>
    <n v="50000"/>
    <n v="3000"/>
    <n v="0"/>
    <n v="53000"/>
    <n v="53000"/>
    <m/>
    <m/>
    <m/>
  </r>
  <r>
    <n v="202"/>
    <x v="1"/>
    <n v="2"/>
    <n v="102"/>
    <n v="20"/>
    <n v="801"/>
    <x v="0"/>
    <s v="住居"/>
    <n v="50000"/>
    <n v="3000"/>
    <n v="0"/>
    <n v="53000"/>
    <n v="53000"/>
    <m/>
    <m/>
    <m/>
  </r>
  <r>
    <n v="202"/>
    <x v="1"/>
    <n v="3"/>
    <n v="103"/>
    <n v="20"/>
    <n v="801"/>
    <x v="0"/>
    <s v="住居"/>
    <n v="0"/>
    <n v="0"/>
    <n v="0"/>
    <n v="0"/>
    <n v="60000"/>
    <n v="1"/>
    <m/>
    <s v="再募集中"/>
  </r>
  <r>
    <n v="202"/>
    <x v="1"/>
    <n v="4"/>
    <n v="201"/>
    <n v="20"/>
    <n v="801"/>
    <x v="0"/>
    <s v="住居"/>
    <n v="0"/>
    <n v="0"/>
    <n v="0"/>
    <n v="0"/>
    <n v="60000"/>
    <n v="1"/>
    <m/>
    <s v="再募集中"/>
  </r>
  <r>
    <n v="202"/>
    <x v="1"/>
    <n v="5"/>
    <n v="202"/>
    <n v="20"/>
    <n v="801"/>
    <x v="0"/>
    <s v="住居"/>
    <n v="50000"/>
    <n v="3000"/>
    <n v="0"/>
    <n v="53000"/>
    <n v="53000"/>
    <m/>
    <m/>
    <m/>
  </r>
  <r>
    <n v="202"/>
    <x v="1"/>
    <n v="6"/>
    <n v="203"/>
    <n v="20"/>
    <n v="807"/>
    <x v="1"/>
    <s v="事務所/店舗"/>
    <n v="50000"/>
    <n v="0"/>
    <n v="4000"/>
    <n v="54000"/>
    <n v="54000"/>
    <m/>
    <m/>
    <m/>
  </r>
  <r>
    <n v="202"/>
    <x v="1"/>
    <n v="7"/>
    <n v="301"/>
    <n v="20"/>
    <n v="803"/>
    <x v="2"/>
    <s v="事務所/店舗"/>
    <n v="800000"/>
    <n v="0"/>
    <n v="64000"/>
    <n v="864000"/>
    <n v="864000"/>
    <m/>
    <m/>
    <m/>
  </r>
  <r>
    <n v="202"/>
    <x v="1"/>
    <n v="8"/>
    <n v="302"/>
    <n v="20"/>
    <n v="802"/>
    <x v="3"/>
    <s v="事務所/店舗"/>
    <n v="250000"/>
    <n v="0"/>
    <n v="20000"/>
    <n v="270000"/>
    <n v="270000"/>
    <m/>
    <m/>
    <m/>
  </r>
  <r>
    <n v="202"/>
    <x v="1"/>
    <n v="9"/>
    <s v="401"/>
    <n v="20"/>
    <n v="808"/>
    <x v="4"/>
    <s v="オペレーショナル"/>
    <n v="52000"/>
    <n v="3000"/>
    <n v="0"/>
    <n v="55000"/>
    <n v="55000"/>
    <m/>
    <m/>
    <m/>
  </r>
  <r>
    <n v="202"/>
    <x v="1"/>
    <n v="10"/>
    <s v="402"/>
    <n v="20"/>
    <n v="809"/>
    <x v="5"/>
    <s v="オペレーショナル"/>
    <n v="52000"/>
    <n v="3000"/>
    <n v="0"/>
    <n v="55000"/>
    <n v="55000"/>
    <m/>
    <m/>
    <m/>
  </r>
  <r>
    <n v="202"/>
    <x v="1"/>
    <n v="11"/>
    <s v="RF"/>
    <s v="-"/>
    <n v="805"/>
    <x v="6"/>
    <s v="その他"/>
    <n v="67000"/>
    <n v="3000"/>
    <n v="0"/>
    <n v="70000"/>
    <n v="70000"/>
    <m/>
    <m/>
    <m/>
  </r>
  <r>
    <n v="202"/>
    <x v="1"/>
    <n v="12"/>
    <s v="P1"/>
    <s v="-"/>
    <n v="804"/>
    <x v="7"/>
    <s v="駐車場"/>
    <n v="30000"/>
    <n v="0"/>
    <n v="2400"/>
    <n v="32400"/>
    <n v="32400"/>
    <m/>
    <m/>
    <m/>
  </r>
  <r>
    <n v="202"/>
    <x v="1"/>
    <n v="13"/>
    <s v="P2"/>
    <s v="-"/>
    <n v="804"/>
    <x v="7"/>
    <s v="駐車場"/>
    <n v="30000"/>
    <n v="0"/>
    <n v="2400"/>
    <n v="32400"/>
    <n v="32400"/>
    <m/>
    <m/>
    <m/>
  </r>
  <r>
    <n v="202"/>
    <x v="1"/>
    <n v="14"/>
    <s v="P3"/>
    <s v="-"/>
    <n v="804"/>
    <x v="7"/>
    <s v="駐車場"/>
    <n v="30000"/>
    <n v="0"/>
    <n v="2400"/>
    <n v="32400"/>
    <n v="32400"/>
    <m/>
    <m/>
    <m/>
  </r>
  <r>
    <n v="203"/>
    <x v="2"/>
    <n v="1"/>
    <n v="101"/>
    <n v="20"/>
    <n v="801"/>
    <x v="0"/>
    <s v="住居"/>
    <n v="50000"/>
    <n v="3000"/>
    <n v="0"/>
    <n v="53000"/>
    <n v="53000"/>
    <m/>
    <m/>
    <m/>
  </r>
  <r>
    <n v="203"/>
    <x v="2"/>
    <n v="2"/>
    <n v="102"/>
    <n v="20"/>
    <n v="801"/>
    <x v="0"/>
    <s v="住居"/>
    <n v="50000"/>
    <n v="3000"/>
    <n v="0"/>
    <n v="53000"/>
    <n v="53000"/>
    <m/>
    <m/>
    <m/>
  </r>
  <r>
    <n v="203"/>
    <x v="2"/>
    <n v="3"/>
    <n v="103"/>
    <n v="20"/>
    <n v="801"/>
    <x v="0"/>
    <s v="住居"/>
    <n v="0"/>
    <n v="0"/>
    <n v="0"/>
    <n v="0"/>
    <n v="60000"/>
    <n v="1"/>
    <m/>
    <s v="再募集中"/>
  </r>
  <r>
    <n v="203"/>
    <x v="2"/>
    <n v="4"/>
    <n v="201"/>
    <n v="20"/>
    <n v="801"/>
    <x v="0"/>
    <s v="住居"/>
    <n v="0"/>
    <n v="0"/>
    <n v="0"/>
    <n v="0"/>
    <n v="60000"/>
    <n v="1"/>
    <m/>
    <s v="再募集中"/>
  </r>
  <r>
    <n v="203"/>
    <x v="2"/>
    <n v="5"/>
    <n v="202"/>
    <n v="20"/>
    <n v="801"/>
    <x v="0"/>
    <s v="住居"/>
    <n v="50000"/>
    <n v="3000"/>
    <n v="0"/>
    <n v="53000"/>
    <n v="53000"/>
    <m/>
    <m/>
    <m/>
  </r>
  <r>
    <n v="203"/>
    <x v="2"/>
    <n v="6"/>
    <n v="203"/>
    <n v="20"/>
    <n v="807"/>
    <x v="1"/>
    <s v="事務所/店舗"/>
    <n v="50000"/>
    <n v="0"/>
    <n v="4000"/>
    <n v="54000"/>
    <n v="54000"/>
    <m/>
    <m/>
    <m/>
  </r>
  <r>
    <n v="203"/>
    <x v="2"/>
    <n v="7"/>
    <n v="301"/>
    <n v="20"/>
    <n v="803"/>
    <x v="2"/>
    <s v="事務所/店舗"/>
    <n v="800000"/>
    <n v="0"/>
    <n v="64000"/>
    <n v="864000"/>
    <n v="864000"/>
    <m/>
    <m/>
    <m/>
  </r>
  <r>
    <n v="203"/>
    <x v="2"/>
    <n v="8"/>
    <n v="302"/>
    <n v="20"/>
    <n v="802"/>
    <x v="3"/>
    <s v="事務所/店舗"/>
    <n v="250000"/>
    <n v="0"/>
    <n v="20000"/>
    <n v="270000"/>
    <n v="270000"/>
    <m/>
    <m/>
    <m/>
  </r>
  <r>
    <n v="203"/>
    <x v="2"/>
    <n v="9"/>
    <s v="401"/>
    <n v="20"/>
    <n v="808"/>
    <x v="4"/>
    <s v="オペレーショナル"/>
    <n v="52000"/>
    <n v="3000"/>
    <n v="0"/>
    <n v="55000"/>
    <n v="55000"/>
    <m/>
    <m/>
    <m/>
  </r>
  <r>
    <n v="203"/>
    <x v="2"/>
    <n v="10"/>
    <s v="402"/>
    <n v="20"/>
    <n v="809"/>
    <x v="5"/>
    <s v="オペレーショナル"/>
    <n v="52000"/>
    <n v="3000"/>
    <n v="0"/>
    <n v="55000"/>
    <n v="55000"/>
    <m/>
    <m/>
    <m/>
  </r>
  <r>
    <n v="203"/>
    <x v="2"/>
    <n v="11"/>
    <s v="RF"/>
    <s v="-"/>
    <n v="805"/>
    <x v="6"/>
    <s v="その他"/>
    <n v="67000"/>
    <n v="3000"/>
    <n v="0"/>
    <n v="70000"/>
    <n v="70000"/>
    <m/>
    <m/>
    <m/>
  </r>
  <r>
    <n v="203"/>
    <x v="2"/>
    <n v="12"/>
    <s v="P1"/>
    <s v="-"/>
    <n v="804"/>
    <x v="7"/>
    <s v="駐車場"/>
    <n v="30000"/>
    <n v="0"/>
    <n v="2400"/>
    <n v="32400"/>
    <n v="32400"/>
    <m/>
    <m/>
    <m/>
  </r>
  <r>
    <n v="203"/>
    <x v="2"/>
    <n v="13"/>
    <s v="P2"/>
    <s v="-"/>
    <n v="804"/>
    <x v="7"/>
    <s v="駐車場"/>
    <n v="30000"/>
    <n v="0"/>
    <n v="2400"/>
    <n v="32400"/>
    <n v="32400"/>
    <m/>
    <m/>
    <m/>
  </r>
  <r>
    <n v="203"/>
    <x v="2"/>
    <n v="14"/>
    <s v="P3"/>
    <s v="-"/>
    <n v="804"/>
    <x v="7"/>
    <s v="駐車場"/>
    <n v="30000"/>
    <n v="0"/>
    <n v="2400"/>
    <n v="32400"/>
    <n v="32400"/>
    <m/>
    <m/>
    <m/>
  </r>
  <r>
    <n v="204"/>
    <x v="3"/>
    <n v="1"/>
    <n v="101"/>
    <n v="20"/>
    <n v="801"/>
    <x v="0"/>
    <s v="住居"/>
    <n v="50000"/>
    <n v="3000"/>
    <n v="0"/>
    <n v="53000"/>
    <n v="53000"/>
    <m/>
    <m/>
    <m/>
  </r>
  <r>
    <n v="204"/>
    <x v="3"/>
    <n v="2"/>
    <n v="102"/>
    <n v="20"/>
    <n v="801"/>
    <x v="0"/>
    <s v="住居"/>
    <n v="50000"/>
    <n v="3000"/>
    <n v="0"/>
    <n v="53000"/>
    <n v="53000"/>
    <m/>
    <m/>
    <m/>
  </r>
  <r>
    <n v="204"/>
    <x v="3"/>
    <n v="3"/>
    <n v="103"/>
    <n v="20"/>
    <n v="801"/>
    <x v="0"/>
    <s v="住居"/>
    <n v="0"/>
    <n v="0"/>
    <n v="0"/>
    <n v="0"/>
    <n v="60000"/>
    <n v="1"/>
    <m/>
    <s v="再募集中"/>
  </r>
  <r>
    <n v="204"/>
    <x v="3"/>
    <n v="4"/>
    <n v="201"/>
    <n v="20"/>
    <n v="801"/>
    <x v="0"/>
    <s v="住居"/>
    <n v="0"/>
    <n v="0"/>
    <n v="0"/>
    <n v="0"/>
    <n v="60000"/>
    <n v="1"/>
    <m/>
    <s v="再募集中"/>
  </r>
  <r>
    <n v="204"/>
    <x v="3"/>
    <n v="5"/>
    <n v="202"/>
    <n v="20"/>
    <n v="801"/>
    <x v="0"/>
    <s v="住居"/>
    <n v="50000"/>
    <n v="3000"/>
    <n v="0"/>
    <n v="53000"/>
    <n v="53000"/>
    <m/>
    <m/>
    <m/>
  </r>
  <r>
    <n v="204"/>
    <x v="3"/>
    <n v="6"/>
    <n v="203"/>
    <n v="20"/>
    <n v="807"/>
    <x v="1"/>
    <s v="事務所/店舗"/>
    <n v="50000"/>
    <n v="0"/>
    <n v="4000"/>
    <n v="54000"/>
    <n v="54000"/>
    <m/>
    <m/>
    <m/>
  </r>
  <r>
    <n v="204"/>
    <x v="3"/>
    <n v="7"/>
    <n v="301"/>
    <n v="20"/>
    <n v="803"/>
    <x v="2"/>
    <s v="事務所/店舗"/>
    <n v="800000"/>
    <n v="0"/>
    <n v="64000"/>
    <n v="864000"/>
    <n v="864000"/>
    <m/>
    <m/>
    <m/>
  </r>
  <r>
    <n v="204"/>
    <x v="3"/>
    <n v="8"/>
    <n v="302"/>
    <n v="20"/>
    <n v="802"/>
    <x v="3"/>
    <s v="事務所/店舗"/>
    <n v="250000"/>
    <n v="0"/>
    <n v="20000"/>
    <n v="270000"/>
    <n v="270000"/>
    <m/>
    <m/>
    <m/>
  </r>
  <r>
    <n v="204"/>
    <x v="3"/>
    <n v="9"/>
    <s v="401"/>
    <n v="20"/>
    <n v="808"/>
    <x v="4"/>
    <s v="オペレーショナル"/>
    <n v="52000"/>
    <n v="3000"/>
    <n v="0"/>
    <n v="55000"/>
    <n v="55000"/>
    <m/>
    <m/>
    <m/>
  </r>
  <r>
    <n v="204"/>
    <x v="3"/>
    <n v="10"/>
    <s v="402"/>
    <n v="20"/>
    <n v="809"/>
    <x v="5"/>
    <s v="オペレーショナル"/>
    <n v="52000"/>
    <n v="3000"/>
    <n v="0"/>
    <n v="55000"/>
    <n v="55000"/>
    <m/>
    <m/>
    <m/>
  </r>
  <r>
    <n v="204"/>
    <x v="3"/>
    <n v="11"/>
    <s v="RF"/>
    <s v="-"/>
    <n v="805"/>
    <x v="6"/>
    <s v="その他"/>
    <n v="67000"/>
    <n v="3000"/>
    <n v="0"/>
    <n v="70000"/>
    <n v="70000"/>
    <m/>
    <m/>
    <m/>
  </r>
  <r>
    <n v="204"/>
    <x v="3"/>
    <n v="12"/>
    <s v="P1"/>
    <s v="-"/>
    <n v="804"/>
    <x v="7"/>
    <s v="駐車場"/>
    <n v="30000"/>
    <n v="0"/>
    <n v="2400"/>
    <n v="32400"/>
    <n v="32400"/>
    <m/>
    <m/>
    <m/>
  </r>
  <r>
    <n v="204"/>
    <x v="3"/>
    <n v="13"/>
    <s v="P2"/>
    <s v="-"/>
    <n v="804"/>
    <x v="7"/>
    <s v="駐車場"/>
    <n v="30000"/>
    <n v="0"/>
    <n v="2400"/>
    <n v="32400"/>
    <n v="32400"/>
    <m/>
    <m/>
    <m/>
  </r>
  <r>
    <n v="204"/>
    <x v="3"/>
    <n v="14"/>
    <s v="P3"/>
    <s v="-"/>
    <n v="804"/>
    <x v="7"/>
    <s v="駐車場"/>
    <n v="30000"/>
    <n v="0"/>
    <n v="2400"/>
    <n v="32400"/>
    <n v="32400"/>
    <m/>
    <m/>
    <m/>
  </r>
  <r>
    <n v="205"/>
    <x v="4"/>
    <n v="1"/>
    <n v="101"/>
    <n v="20"/>
    <n v="801"/>
    <x v="0"/>
    <s v="住居"/>
    <n v="50000"/>
    <n v="3000"/>
    <n v="0"/>
    <n v="53000"/>
    <n v="53000"/>
    <m/>
    <m/>
    <m/>
  </r>
  <r>
    <n v="205"/>
    <x v="4"/>
    <n v="2"/>
    <n v="102"/>
    <n v="20"/>
    <n v="801"/>
    <x v="0"/>
    <s v="住居"/>
    <n v="50000"/>
    <n v="3000"/>
    <n v="0"/>
    <n v="53000"/>
    <n v="53000"/>
    <m/>
    <m/>
    <m/>
  </r>
  <r>
    <n v="205"/>
    <x v="4"/>
    <n v="3"/>
    <n v="103"/>
    <n v="20"/>
    <n v="801"/>
    <x v="0"/>
    <s v="住居"/>
    <n v="0"/>
    <n v="0"/>
    <n v="0"/>
    <n v="0"/>
    <n v="60000"/>
    <n v="1"/>
    <m/>
    <s v="再募集中"/>
  </r>
  <r>
    <n v="205"/>
    <x v="4"/>
    <n v="4"/>
    <n v="201"/>
    <n v="20"/>
    <n v="801"/>
    <x v="0"/>
    <s v="住居"/>
    <n v="0"/>
    <n v="0"/>
    <n v="0"/>
    <n v="0"/>
    <n v="60000"/>
    <n v="1"/>
    <m/>
    <s v="再募集中"/>
  </r>
  <r>
    <n v="205"/>
    <x v="4"/>
    <n v="5"/>
    <n v="202"/>
    <n v="20"/>
    <n v="801"/>
    <x v="0"/>
    <s v="住居"/>
    <n v="50000"/>
    <n v="3000"/>
    <n v="0"/>
    <n v="53000"/>
    <n v="53000"/>
    <m/>
    <m/>
    <m/>
  </r>
  <r>
    <n v="205"/>
    <x v="4"/>
    <n v="6"/>
    <n v="203"/>
    <n v="20"/>
    <n v="807"/>
    <x v="1"/>
    <s v="事務所/店舗"/>
    <n v="50000"/>
    <n v="0"/>
    <n v="4000"/>
    <n v="54000"/>
    <n v="54000"/>
    <m/>
    <m/>
    <m/>
  </r>
  <r>
    <n v="205"/>
    <x v="4"/>
    <n v="7"/>
    <n v="301"/>
    <n v="20"/>
    <n v="803"/>
    <x v="2"/>
    <s v="事務所/店舗"/>
    <n v="800000"/>
    <n v="0"/>
    <n v="64000"/>
    <n v="864000"/>
    <n v="864000"/>
    <m/>
    <m/>
    <m/>
  </r>
  <r>
    <n v="205"/>
    <x v="4"/>
    <n v="8"/>
    <n v="302"/>
    <n v="20"/>
    <n v="802"/>
    <x v="3"/>
    <s v="事務所/店舗"/>
    <n v="250000"/>
    <n v="0"/>
    <n v="20000"/>
    <n v="270000"/>
    <n v="270000"/>
    <m/>
    <m/>
    <m/>
  </r>
  <r>
    <n v="205"/>
    <x v="4"/>
    <n v="9"/>
    <s v="401"/>
    <n v="20"/>
    <n v="808"/>
    <x v="4"/>
    <s v="オペレーショナル"/>
    <n v="52000"/>
    <n v="3000"/>
    <n v="0"/>
    <n v="55000"/>
    <n v="55000"/>
    <m/>
    <m/>
    <m/>
  </r>
  <r>
    <n v="205"/>
    <x v="4"/>
    <n v="10"/>
    <s v="402"/>
    <n v="20"/>
    <n v="809"/>
    <x v="5"/>
    <s v="オペレーショナル"/>
    <n v="52000"/>
    <n v="3000"/>
    <n v="0"/>
    <n v="55000"/>
    <n v="55000"/>
    <m/>
    <m/>
    <m/>
  </r>
  <r>
    <n v="205"/>
    <x v="4"/>
    <n v="11"/>
    <s v="RF"/>
    <s v="-"/>
    <n v="805"/>
    <x v="6"/>
    <s v="その他"/>
    <n v="67000"/>
    <n v="3000"/>
    <n v="0"/>
    <n v="70000"/>
    <n v="70000"/>
    <m/>
    <m/>
    <m/>
  </r>
  <r>
    <n v="205"/>
    <x v="4"/>
    <n v="12"/>
    <s v="P1"/>
    <s v="-"/>
    <n v="804"/>
    <x v="7"/>
    <s v="駐車場"/>
    <n v="30000"/>
    <n v="0"/>
    <n v="2400"/>
    <n v="32400"/>
    <n v="32400"/>
    <m/>
    <m/>
    <m/>
  </r>
  <r>
    <n v="205"/>
    <x v="4"/>
    <n v="13"/>
    <s v="P2"/>
    <s v="-"/>
    <n v="804"/>
    <x v="7"/>
    <s v="駐車場"/>
    <n v="30000"/>
    <n v="0"/>
    <n v="2400"/>
    <n v="32400"/>
    <n v="32400"/>
    <m/>
    <m/>
    <m/>
  </r>
  <r>
    <n v="205"/>
    <x v="4"/>
    <n v="14"/>
    <s v="P3"/>
    <s v="-"/>
    <n v="804"/>
    <x v="7"/>
    <s v="駐車場"/>
    <n v="30000"/>
    <n v="0"/>
    <n v="2400"/>
    <n v="32400"/>
    <n v="32400"/>
    <m/>
    <m/>
    <m/>
  </r>
  <r>
    <n v="206"/>
    <x v="5"/>
    <n v="1"/>
    <n v="101"/>
    <n v="20"/>
    <n v="801"/>
    <x v="0"/>
    <s v="住居"/>
    <n v="50000"/>
    <n v="3000"/>
    <n v="0"/>
    <n v="53000"/>
    <n v="53000"/>
    <m/>
    <m/>
    <m/>
  </r>
  <r>
    <n v="206"/>
    <x v="5"/>
    <n v="2"/>
    <n v="102"/>
    <n v="20"/>
    <n v="801"/>
    <x v="0"/>
    <s v="住居"/>
    <n v="50000"/>
    <n v="3000"/>
    <n v="0"/>
    <n v="53000"/>
    <n v="53000"/>
    <m/>
    <m/>
    <m/>
  </r>
  <r>
    <n v="206"/>
    <x v="5"/>
    <n v="3"/>
    <n v="103"/>
    <n v="20"/>
    <n v="801"/>
    <x v="0"/>
    <s v="住居"/>
    <n v="0"/>
    <n v="0"/>
    <n v="0"/>
    <n v="0"/>
    <n v="60000"/>
    <n v="1"/>
    <m/>
    <s v="再募集中"/>
  </r>
  <r>
    <n v="206"/>
    <x v="5"/>
    <n v="4"/>
    <n v="201"/>
    <n v="20"/>
    <n v="801"/>
    <x v="0"/>
    <s v="住居"/>
    <n v="0"/>
    <n v="0"/>
    <n v="0"/>
    <n v="0"/>
    <n v="60000"/>
    <n v="1"/>
    <m/>
    <s v="再募集中"/>
  </r>
  <r>
    <n v="206"/>
    <x v="5"/>
    <n v="5"/>
    <n v="202"/>
    <n v="20"/>
    <n v="801"/>
    <x v="0"/>
    <s v="住居"/>
    <n v="50000"/>
    <n v="3000"/>
    <n v="0"/>
    <n v="53000"/>
    <n v="53000"/>
    <m/>
    <m/>
    <m/>
  </r>
  <r>
    <n v="206"/>
    <x v="5"/>
    <n v="6"/>
    <n v="203"/>
    <n v="20"/>
    <n v="807"/>
    <x v="1"/>
    <s v="事務所/店舗"/>
    <n v="50000"/>
    <n v="0"/>
    <n v="4000"/>
    <n v="54000"/>
    <n v="54000"/>
    <m/>
    <m/>
    <m/>
  </r>
  <r>
    <n v="206"/>
    <x v="5"/>
    <n v="7"/>
    <n v="301"/>
    <n v="20"/>
    <n v="803"/>
    <x v="2"/>
    <s v="事務所/店舗"/>
    <n v="800000"/>
    <n v="0"/>
    <n v="64000"/>
    <n v="864000"/>
    <n v="864000"/>
    <m/>
    <m/>
    <m/>
  </r>
  <r>
    <n v="206"/>
    <x v="5"/>
    <n v="8"/>
    <n v="302"/>
    <n v="20"/>
    <n v="802"/>
    <x v="3"/>
    <s v="事務所/店舗"/>
    <n v="250000"/>
    <n v="0"/>
    <n v="20000"/>
    <n v="270000"/>
    <n v="270000"/>
    <m/>
    <m/>
    <m/>
  </r>
  <r>
    <n v="206"/>
    <x v="5"/>
    <n v="9"/>
    <s v="401"/>
    <n v="20"/>
    <n v="808"/>
    <x v="4"/>
    <s v="オペレーショナル"/>
    <n v="52000"/>
    <n v="3000"/>
    <n v="0"/>
    <n v="55000"/>
    <n v="55000"/>
    <m/>
    <m/>
    <m/>
  </r>
  <r>
    <n v="206"/>
    <x v="5"/>
    <n v="10"/>
    <s v="402"/>
    <n v="20"/>
    <n v="809"/>
    <x v="5"/>
    <s v="オペレーショナル"/>
    <n v="52000"/>
    <n v="3000"/>
    <n v="0"/>
    <n v="55000"/>
    <n v="55000"/>
    <m/>
    <m/>
    <m/>
  </r>
  <r>
    <n v="206"/>
    <x v="5"/>
    <n v="11"/>
    <s v="RF"/>
    <s v="-"/>
    <n v="805"/>
    <x v="6"/>
    <s v="その他"/>
    <n v="67000"/>
    <n v="3000"/>
    <n v="0"/>
    <n v="70000"/>
    <n v="70000"/>
    <m/>
    <m/>
    <m/>
  </r>
  <r>
    <n v="206"/>
    <x v="5"/>
    <n v="12"/>
    <s v="P1"/>
    <s v="-"/>
    <n v="804"/>
    <x v="7"/>
    <s v="駐車場"/>
    <n v="30000"/>
    <n v="0"/>
    <n v="2400"/>
    <n v="32400"/>
    <n v="32400"/>
    <m/>
    <m/>
    <m/>
  </r>
  <r>
    <n v="206"/>
    <x v="5"/>
    <n v="13"/>
    <s v="P2"/>
    <s v="-"/>
    <n v="804"/>
    <x v="7"/>
    <s v="駐車場"/>
    <n v="30000"/>
    <n v="0"/>
    <n v="2400"/>
    <n v="32400"/>
    <n v="32400"/>
    <m/>
    <m/>
    <m/>
  </r>
  <r>
    <n v="206"/>
    <x v="5"/>
    <n v="14"/>
    <s v="P3"/>
    <s v="-"/>
    <n v="804"/>
    <x v="7"/>
    <s v="駐車場"/>
    <n v="30000"/>
    <n v="0"/>
    <n v="2400"/>
    <n v="32400"/>
    <n v="32400"/>
    <m/>
    <m/>
    <m/>
  </r>
  <r>
    <n v="207"/>
    <x v="6"/>
    <n v="1"/>
    <n v="101"/>
    <n v="20"/>
    <n v="801"/>
    <x v="0"/>
    <s v="住居"/>
    <n v="50000"/>
    <n v="3000"/>
    <n v="0"/>
    <n v="53000"/>
    <n v="53000"/>
    <m/>
    <m/>
    <m/>
  </r>
  <r>
    <n v="207"/>
    <x v="6"/>
    <n v="2"/>
    <n v="102"/>
    <n v="20"/>
    <n v="801"/>
    <x v="0"/>
    <s v="住居"/>
    <n v="50000"/>
    <n v="3000"/>
    <n v="0"/>
    <n v="53000"/>
    <n v="53000"/>
    <m/>
    <m/>
    <m/>
  </r>
  <r>
    <n v="207"/>
    <x v="6"/>
    <n v="3"/>
    <n v="103"/>
    <n v="20"/>
    <n v="801"/>
    <x v="0"/>
    <s v="住居"/>
    <n v="0"/>
    <n v="0"/>
    <n v="0"/>
    <n v="0"/>
    <n v="60000"/>
    <n v="1"/>
    <m/>
    <s v="再募集中"/>
  </r>
  <r>
    <n v="207"/>
    <x v="6"/>
    <n v="4"/>
    <n v="201"/>
    <n v="20"/>
    <n v="801"/>
    <x v="0"/>
    <s v="住居"/>
    <n v="0"/>
    <n v="0"/>
    <n v="0"/>
    <n v="0"/>
    <n v="60000"/>
    <n v="1"/>
    <m/>
    <s v="再募集中"/>
  </r>
  <r>
    <n v="207"/>
    <x v="6"/>
    <n v="5"/>
    <n v="202"/>
    <n v="20"/>
    <n v="801"/>
    <x v="0"/>
    <s v="住居"/>
    <n v="50000"/>
    <n v="3000"/>
    <n v="0"/>
    <n v="53000"/>
    <n v="53000"/>
    <m/>
    <m/>
    <m/>
  </r>
  <r>
    <n v="207"/>
    <x v="6"/>
    <n v="6"/>
    <n v="203"/>
    <n v="20"/>
    <n v="807"/>
    <x v="1"/>
    <s v="事務所/店舗"/>
    <n v="50000"/>
    <n v="0"/>
    <n v="4000"/>
    <n v="54000"/>
    <n v="54000"/>
    <m/>
    <m/>
    <m/>
  </r>
  <r>
    <n v="207"/>
    <x v="6"/>
    <n v="7"/>
    <n v="301"/>
    <n v="20"/>
    <n v="803"/>
    <x v="2"/>
    <s v="事務所/店舗"/>
    <n v="800000"/>
    <n v="0"/>
    <n v="64000"/>
    <n v="864000"/>
    <n v="864000"/>
    <m/>
    <m/>
    <m/>
  </r>
  <r>
    <n v="207"/>
    <x v="6"/>
    <n v="8"/>
    <n v="302"/>
    <n v="20"/>
    <n v="802"/>
    <x v="3"/>
    <s v="事務所/店舗"/>
    <n v="250000"/>
    <n v="0"/>
    <n v="20000"/>
    <n v="270000"/>
    <n v="270000"/>
    <m/>
    <m/>
    <m/>
  </r>
  <r>
    <n v="207"/>
    <x v="6"/>
    <n v="9"/>
    <s v="401"/>
    <n v="20"/>
    <n v="808"/>
    <x v="4"/>
    <s v="オペレーショナル"/>
    <n v="52000"/>
    <n v="3000"/>
    <n v="0"/>
    <n v="55000"/>
    <n v="55000"/>
    <m/>
    <m/>
    <m/>
  </r>
  <r>
    <n v="207"/>
    <x v="6"/>
    <n v="10"/>
    <s v="402"/>
    <n v="20"/>
    <n v="809"/>
    <x v="5"/>
    <s v="オペレーショナル"/>
    <n v="52000"/>
    <n v="3000"/>
    <n v="0"/>
    <n v="55000"/>
    <n v="55000"/>
    <m/>
    <m/>
    <m/>
  </r>
  <r>
    <n v="207"/>
    <x v="6"/>
    <n v="11"/>
    <s v="RF"/>
    <s v="-"/>
    <n v="805"/>
    <x v="6"/>
    <s v="その他"/>
    <n v="67000"/>
    <n v="3000"/>
    <n v="0"/>
    <n v="70000"/>
    <n v="70000"/>
    <m/>
    <m/>
    <m/>
  </r>
  <r>
    <n v="207"/>
    <x v="6"/>
    <n v="12"/>
    <s v="P1"/>
    <s v="-"/>
    <n v="804"/>
    <x v="7"/>
    <s v="駐車場"/>
    <n v="30000"/>
    <n v="0"/>
    <n v="2400"/>
    <n v="32400"/>
    <n v="32400"/>
    <m/>
    <m/>
    <m/>
  </r>
  <r>
    <n v="207"/>
    <x v="6"/>
    <n v="13"/>
    <s v="P2"/>
    <s v="-"/>
    <n v="804"/>
    <x v="7"/>
    <s v="駐車場"/>
    <n v="30000"/>
    <n v="0"/>
    <n v="2400"/>
    <n v="32400"/>
    <n v="32400"/>
    <m/>
    <m/>
    <m/>
  </r>
  <r>
    <n v="207"/>
    <x v="6"/>
    <n v="14"/>
    <s v="P3"/>
    <s v="-"/>
    <n v="804"/>
    <x v="7"/>
    <s v="駐車場"/>
    <n v="30000"/>
    <n v="0"/>
    <n v="2400"/>
    <n v="32400"/>
    <n v="32400"/>
    <m/>
    <m/>
    <m/>
  </r>
  <r>
    <n v="208"/>
    <x v="7"/>
    <n v="1"/>
    <n v="101"/>
    <n v="20"/>
    <n v="801"/>
    <x v="0"/>
    <s v="住居"/>
    <n v="50000"/>
    <n v="3000"/>
    <n v="0"/>
    <n v="53000"/>
    <n v="53000"/>
    <m/>
    <m/>
    <m/>
  </r>
  <r>
    <n v="208"/>
    <x v="7"/>
    <n v="2"/>
    <n v="102"/>
    <n v="20"/>
    <n v="801"/>
    <x v="0"/>
    <s v="住居"/>
    <n v="50000"/>
    <n v="3000"/>
    <n v="0"/>
    <n v="53000"/>
    <n v="53000"/>
    <m/>
    <m/>
    <m/>
  </r>
  <r>
    <n v="208"/>
    <x v="7"/>
    <n v="3"/>
    <n v="103"/>
    <n v="20"/>
    <n v="801"/>
    <x v="0"/>
    <s v="住居"/>
    <n v="0"/>
    <n v="0"/>
    <n v="0"/>
    <n v="0"/>
    <n v="60000"/>
    <n v="1"/>
    <m/>
    <s v="再募集中"/>
  </r>
  <r>
    <n v="208"/>
    <x v="7"/>
    <n v="4"/>
    <n v="201"/>
    <n v="20"/>
    <n v="801"/>
    <x v="0"/>
    <s v="住居"/>
    <n v="0"/>
    <n v="0"/>
    <n v="0"/>
    <n v="0"/>
    <n v="60000"/>
    <n v="1"/>
    <m/>
    <s v="再募集中"/>
  </r>
  <r>
    <n v="208"/>
    <x v="7"/>
    <n v="5"/>
    <n v="202"/>
    <n v="20"/>
    <n v="801"/>
    <x v="0"/>
    <s v="住居"/>
    <n v="50000"/>
    <n v="3000"/>
    <n v="0"/>
    <n v="53000"/>
    <n v="53000"/>
    <m/>
    <m/>
    <m/>
  </r>
  <r>
    <n v="208"/>
    <x v="7"/>
    <n v="6"/>
    <n v="203"/>
    <n v="20"/>
    <n v="807"/>
    <x v="1"/>
    <s v="事務所/店舗"/>
    <n v="50000"/>
    <n v="0"/>
    <n v="4000"/>
    <n v="54000"/>
    <n v="54000"/>
    <m/>
    <m/>
    <m/>
  </r>
  <r>
    <n v="208"/>
    <x v="7"/>
    <n v="7"/>
    <n v="301"/>
    <n v="20"/>
    <n v="803"/>
    <x v="2"/>
    <s v="事務所/店舗"/>
    <n v="800000"/>
    <n v="0"/>
    <n v="64000"/>
    <n v="864000"/>
    <n v="864000"/>
    <m/>
    <m/>
    <m/>
  </r>
  <r>
    <n v="208"/>
    <x v="7"/>
    <n v="8"/>
    <n v="302"/>
    <n v="20"/>
    <n v="802"/>
    <x v="3"/>
    <s v="事務所/店舗"/>
    <n v="250000"/>
    <n v="0"/>
    <n v="20000"/>
    <n v="270000"/>
    <n v="270000"/>
    <m/>
    <m/>
    <m/>
  </r>
  <r>
    <n v="208"/>
    <x v="7"/>
    <n v="9"/>
    <s v="401"/>
    <n v="20"/>
    <n v="808"/>
    <x v="4"/>
    <s v="オペレーショナル"/>
    <n v="52000"/>
    <n v="3000"/>
    <n v="0"/>
    <n v="55000"/>
    <n v="55000"/>
    <m/>
    <m/>
    <m/>
  </r>
  <r>
    <n v="208"/>
    <x v="7"/>
    <n v="10"/>
    <s v="402"/>
    <n v="20"/>
    <n v="809"/>
    <x v="5"/>
    <s v="オペレーショナル"/>
    <n v="52000"/>
    <n v="3000"/>
    <n v="0"/>
    <n v="55000"/>
    <n v="55000"/>
    <m/>
    <m/>
    <m/>
  </r>
  <r>
    <n v="208"/>
    <x v="7"/>
    <n v="11"/>
    <s v="RF"/>
    <s v="-"/>
    <n v="805"/>
    <x v="6"/>
    <s v="その他"/>
    <n v="67000"/>
    <n v="3000"/>
    <n v="0"/>
    <n v="70000"/>
    <n v="70000"/>
    <m/>
    <m/>
    <m/>
  </r>
  <r>
    <n v="208"/>
    <x v="7"/>
    <n v="12"/>
    <s v="P1"/>
    <s v="-"/>
    <n v="804"/>
    <x v="7"/>
    <s v="駐車場"/>
    <n v="30000"/>
    <n v="0"/>
    <n v="2400"/>
    <n v="32400"/>
    <n v="32400"/>
    <m/>
    <m/>
    <m/>
  </r>
  <r>
    <n v="208"/>
    <x v="7"/>
    <n v="13"/>
    <s v="P2"/>
    <s v="-"/>
    <n v="804"/>
    <x v="7"/>
    <s v="駐車場"/>
    <n v="30000"/>
    <n v="0"/>
    <n v="2400"/>
    <n v="32400"/>
    <n v="32400"/>
    <m/>
    <m/>
    <m/>
  </r>
  <r>
    <n v="208"/>
    <x v="7"/>
    <n v="14"/>
    <s v="P3"/>
    <s v="-"/>
    <n v="804"/>
    <x v="7"/>
    <s v="駐車場"/>
    <n v="30000"/>
    <n v="0"/>
    <n v="2400"/>
    <n v="32400"/>
    <n v="32400"/>
    <m/>
    <m/>
    <m/>
  </r>
  <r>
    <n v="301"/>
    <x v="8"/>
    <n v="1"/>
    <n v="101"/>
    <n v="20"/>
    <n v="801"/>
    <x v="0"/>
    <s v="住居"/>
    <n v="300000"/>
    <n v="3000"/>
    <n v="0"/>
    <n v="303000"/>
    <n v="303000"/>
    <m/>
    <m/>
    <m/>
  </r>
  <r>
    <n v="302"/>
    <x v="9"/>
    <n v="1"/>
    <s v="102"/>
    <n v="30"/>
    <n v="801"/>
    <x v="0"/>
    <s v="住居"/>
    <n v="300000"/>
    <n v="5000"/>
    <n v="0"/>
    <n v="305000"/>
    <n v="305000"/>
    <m/>
    <m/>
    <m/>
  </r>
  <r>
    <n v="303"/>
    <x v="10"/>
    <n v="1"/>
    <s v="201"/>
    <n v="35"/>
    <n v="801"/>
    <x v="0"/>
    <s v="住居"/>
    <n v="300000"/>
    <n v="5000"/>
    <n v="0"/>
    <n v="305000"/>
    <n v="305000"/>
    <m/>
    <m/>
    <m/>
  </r>
  <r>
    <n v="304"/>
    <x v="11"/>
    <n v="1"/>
    <s v="202"/>
    <n v="40"/>
    <n v="801"/>
    <x v="0"/>
    <s v="住居"/>
    <n v="300000"/>
    <n v="5000"/>
    <n v="0"/>
    <n v="305000"/>
    <n v="305000"/>
    <m/>
    <m/>
    <m/>
  </r>
  <r>
    <n v="305"/>
    <x v="12"/>
    <n v="1"/>
    <s v="203"/>
    <n v="50"/>
    <n v="801"/>
    <x v="0"/>
    <s v="住居"/>
    <n v="300000"/>
    <n v="5000"/>
    <n v="0"/>
    <n v="305000"/>
    <n v="305000"/>
    <m/>
    <m/>
    <m/>
  </r>
  <r>
    <n v="306"/>
    <x v="13"/>
    <n v="1"/>
    <s v="3099"/>
    <n v="100"/>
    <n v="801"/>
    <x v="0"/>
    <s v="住居"/>
    <n v="0"/>
    <n v="0"/>
    <n v="0"/>
    <n v="0"/>
    <n v="300000"/>
    <m/>
    <n v="1"/>
    <s v="オーナー自己使用"/>
  </r>
  <r>
    <n v="306"/>
    <x v="13"/>
    <n v="1"/>
    <s v="P"/>
    <s v="-"/>
    <n v="804"/>
    <x v="7"/>
    <s v="駐車場"/>
    <n v="0"/>
    <n v="0"/>
    <n v="0"/>
    <n v="0"/>
    <n v="50000"/>
    <m/>
    <n v="1"/>
    <s v="オーナー自己使用"/>
  </r>
  <r>
    <m/>
    <x v="14"/>
    <m/>
    <m/>
    <m/>
    <m/>
    <x v="9"/>
    <m/>
    <m/>
    <m/>
    <m/>
    <m/>
    <m/>
    <m/>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n v="1"/>
    <x v="0"/>
    <x v="0"/>
    <x v="0"/>
    <s v="no"/>
    <s v="豊島区南池袋1-2-3"/>
    <m/>
    <n v="123"/>
    <s v="1"/>
    <s v="1"/>
    <n v="10000000"/>
    <n v="50000"/>
    <n v="10000"/>
    <n v="10000000"/>
    <n v="7000000"/>
    <n v="50000"/>
    <n v="10000"/>
  </r>
  <r>
    <n v="2"/>
    <x v="0"/>
    <x v="0"/>
    <x v="0"/>
    <s v="no"/>
    <s v="豊島区南池袋1-2-3"/>
    <m/>
    <n v="20"/>
    <s v="1"/>
    <s v="1"/>
    <n v="1000000"/>
    <n v="1000"/>
    <n v="1000"/>
    <n v="1000000"/>
    <n v="700000"/>
    <n v="1000"/>
    <n v="1000"/>
  </r>
  <r>
    <n v="3"/>
    <x v="0"/>
    <x v="0"/>
    <x v="0"/>
    <s v="no"/>
    <s v="豊島区南池袋1-2-3"/>
    <m/>
    <n v="10"/>
    <s v="1"/>
    <s v="1"/>
    <n v="1000000"/>
    <n v="1000"/>
    <n v="1000"/>
    <n v="1000000"/>
    <n v="700000"/>
    <n v="1000"/>
    <n v="1000"/>
  </r>
  <r>
    <n v="4"/>
    <x v="0"/>
    <x v="0"/>
    <x v="1"/>
    <s v="-"/>
    <s v="豊島区南池袋1-2-3"/>
    <s v="123-1"/>
    <n v="200"/>
    <s v="1"/>
    <s v="1"/>
    <n v="10000000"/>
    <n v="50000"/>
    <n v="10000"/>
    <n v="10000000"/>
    <n v="7000000"/>
    <n v="50000"/>
    <n v="10000"/>
  </r>
  <r>
    <n v="5"/>
    <x v="1"/>
    <x v="1"/>
    <x v="0"/>
    <s v="yes"/>
    <s v="豊島区南池袋1-2-3"/>
    <m/>
    <n v="123"/>
    <s v="1"/>
    <s v="1"/>
    <n v="1000000"/>
    <n v="1000"/>
    <n v="1000"/>
    <n v="10000000"/>
    <n v="7000000"/>
    <n v="50000"/>
    <n v="10000"/>
  </r>
  <r>
    <n v="6"/>
    <x v="1"/>
    <x v="1"/>
    <x v="1"/>
    <s v="-"/>
    <s v="豊島区南池袋1-2-3"/>
    <s v="123-1"/>
    <n v="300"/>
    <s v="1"/>
    <s v="1"/>
    <n v="10000000"/>
    <n v="50000"/>
    <n v="10000"/>
    <n v="1000000"/>
    <n v="700000"/>
    <n v="1000"/>
    <n v="1000"/>
  </r>
  <r>
    <n v="7"/>
    <x v="2"/>
    <x v="2"/>
    <x v="0"/>
    <s v="yes"/>
    <s v="豊島区南池袋1-2-3"/>
    <m/>
    <n v="123"/>
    <s v="1"/>
    <s v="1"/>
    <n v="1000000"/>
    <n v="1000"/>
    <n v="1000"/>
    <n v="1000000"/>
    <n v="700000"/>
    <n v="1000"/>
    <n v="1000"/>
  </r>
  <r>
    <n v="8"/>
    <x v="2"/>
    <x v="2"/>
    <x v="1"/>
    <s v="-"/>
    <s v="豊島区南池袋1-2-3"/>
    <s v="123-1"/>
    <n v="300"/>
    <s v="1"/>
    <s v="1"/>
    <n v="10000000"/>
    <n v="50000"/>
    <n v="10000"/>
    <n v="10000000"/>
    <n v="7000000"/>
    <n v="50000"/>
    <n v="10000"/>
  </r>
  <r>
    <n v="9"/>
    <x v="3"/>
    <x v="3"/>
    <x v="0"/>
    <s v="no"/>
    <s v="豊島区南池袋1-2-3"/>
    <m/>
    <n v="123"/>
    <s v="1"/>
    <s v="1"/>
    <n v="1000000"/>
    <n v="1000"/>
    <n v="1000"/>
    <n v="10000000"/>
    <n v="7000000"/>
    <n v="50000"/>
    <n v="10000"/>
  </r>
  <r>
    <n v="10"/>
    <x v="3"/>
    <x v="3"/>
    <x v="1"/>
    <s v="-"/>
    <s v="豊島区南池袋1-2-3"/>
    <s v="123-1"/>
    <n v="300"/>
    <s v="1"/>
    <s v="1"/>
    <n v="10000000"/>
    <n v="50000"/>
    <n v="10000"/>
    <n v="1000000"/>
    <n v="700000"/>
    <n v="1000"/>
    <n v="1000"/>
  </r>
  <r>
    <n v="11"/>
    <x v="4"/>
    <x v="4"/>
    <x v="0"/>
    <s v="no"/>
    <s v="豊島区南池袋1-2-3"/>
    <m/>
    <n v="123"/>
    <s v="1"/>
    <s v="1"/>
    <n v="1000000"/>
    <n v="1000"/>
    <n v="1000"/>
    <n v="1000000"/>
    <n v="700000"/>
    <n v="1000"/>
    <n v="1000"/>
  </r>
  <r>
    <n v="12"/>
    <x v="4"/>
    <x v="4"/>
    <x v="1"/>
    <s v="-"/>
    <s v="豊島区南池袋1-2-3"/>
    <s v="123-1"/>
    <n v="300"/>
    <s v="1"/>
    <s v="1"/>
    <n v="10000000"/>
    <n v="50000"/>
    <n v="10000"/>
    <n v="10000000"/>
    <n v="7000000"/>
    <n v="50000"/>
    <n v="10000"/>
  </r>
  <r>
    <n v="13"/>
    <x v="5"/>
    <x v="5"/>
    <x v="0"/>
    <s v="no"/>
    <s v="豊島区南池袋1-2-3"/>
    <m/>
    <n v="123"/>
    <s v="1"/>
    <s v="1"/>
    <n v="10000000"/>
    <n v="50000"/>
    <n v="10000"/>
    <n v="10000000"/>
    <n v="7000000"/>
    <n v="50000"/>
    <n v="10000"/>
  </r>
  <r>
    <n v="14"/>
    <x v="5"/>
    <x v="5"/>
    <x v="1"/>
    <s v="-"/>
    <s v="豊島区南池袋1-2-3"/>
    <s v="123-1"/>
    <n v="300"/>
    <s v="1"/>
    <s v="1"/>
    <n v="1000000"/>
    <n v="1000"/>
    <n v="1000"/>
    <n v="1000000"/>
    <n v="700000"/>
    <n v="1000"/>
    <n v="1000"/>
  </r>
  <r>
    <n v="15"/>
    <x v="6"/>
    <x v="6"/>
    <x v="0"/>
    <s v="no"/>
    <s v="豊島区南池袋1-2-3"/>
    <m/>
    <n v="123"/>
    <s v="1"/>
    <s v="1"/>
    <n v="1000000"/>
    <n v="1000"/>
    <n v="1000"/>
    <n v="1000000"/>
    <n v="700000"/>
    <n v="1000"/>
    <n v="1000"/>
  </r>
  <r>
    <n v="16"/>
    <x v="6"/>
    <x v="6"/>
    <x v="1"/>
    <s v="-"/>
    <s v="豊島区南池袋1-2-3"/>
    <s v="123-1"/>
    <n v="300"/>
    <s v="1"/>
    <s v="1"/>
    <n v="10000000"/>
    <n v="50000"/>
    <n v="10000"/>
    <n v="10000000"/>
    <n v="7000000"/>
    <n v="50000"/>
    <n v="10000"/>
  </r>
  <r>
    <n v="17"/>
    <x v="7"/>
    <x v="7"/>
    <x v="0"/>
    <s v="no"/>
    <s v="豊島区南池袋1-2-3"/>
    <m/>
    <n v="123"/>
    <s v="1"/>
    <s v="1"/>
    <n v="1000000"/>
    <n v="1000"/>
    <n v="1000"/>
    <n v="10000000"/>
    <n v="7000000"/>
    <n v="50000"/>
    <n v="10000"/>
  </r>
  <r>
    <n v="18"/>
    <x v="7"/>
    <x v="7"/>
    <x v="1"/>
    <s v="-"/>
    <s v="豊島区南池袋1-2-3"/>
    <s v="123-1"/>
    <n v="300"/>
    <s v="1"/>
    <s v="1"/>
    <n v="10000000"/>
    <n v="50000"/>
    <n v="10000"/>
    <n v="1000000"/>
    <n v="700000"/>
    <n v="1000"/>
    <n v="1000"/>
  </r>
  <r>
    <n v="19"/>
    <x v="8"/>
    <x v="8"/>
    <x v="0"/>
    <s v="no"/>
    <s v="豊島区南池袋1-2-3"/>
    <m/>
    <n v="5000"/>
    <n v="123"/>
    <n v="5555"/>
    <n v="1000000"/>
    <n v="1000"/>
    <n v="1000"/>
    <n v="1000000"/>
    <n v="700000"/>
    <n v="1000"/>
    <n v="1000"/>
  </r>
  <r>
    <n v="20"/>
    <x v="8"/>
    <x v="8"/>
    <x v="1"/>
    <s v="-"/>
    <s v="豊島区南池袋1-2-3"/>
    <s v="123-1"/>
    <n v="4000"/>
    <n v="123"/>
    <n v="5555"/>
    <n v="10000000"/>
    <n v="50000"/>
    <n v="10000"/>
    <n v="10000000"/>
    <n v="7000000"/>
    <n v="50000"/>
    <n v="10000"/>
  </r>
  <r>
    <n v="21"/>
    <x v="9"/>
    <x v="9"/>
    <x v="0"/>
    <s v="no"/>
    <s v="豊島区南池袋1-2-3"/>
    <m/>
    <n v="5000"/>
    <n v="123"/>
    <n v="5555"/>
    <n v="1000000"/>
    <n v="1000"/>
    <n v="1000"/>
    <n v="10000000"/>
    <n v="7000000"/>
    <n v="50000"/>
    <n v="10000"/>
  </r>
  <r>
    <n v="22"/>
    <x v="9"/>
    <x v="9"/>
    <x v="1"/>
    <s v="-"/>
    <s v="豊島区南池袋1-2-3"/>
    <s v="123-1"/>
    <n v="4000"/>
    <n v="123"/>
    <n v="5555"/>
    <n v="10000000"/>
    <n v="50000"/>
    <n v="10000"/>
    <n v="1000000"/>
    <n v="700000"/>
    <n v="1000"/>
    <n v="1000"/>
  </r>
  <r>
    <n v="23"/>
    <x v="10"/>
    <x v="10"/>
    <x v="0"/>
    <s v="no"/>
    <s v="豊島区南池袋1-2-3"/>
    <m/>
    <n v="5000"/>
    <n v="123"/>
    <n v="5555"/>
    <n v="1000000"/>
    <n v="1000"/>
    <n v="1000"/>
    <n v="1000000"/>
    <n v="700000"/>
    <n v="1000"/>
    <n v="1000"/>
  </r>
  <r>
    <n v="24"/>
    <x v="10"/>
    <x v="10"/>
    <x v="1"/>
    <s v="-"/>
    <s v="豊島区南池袋1-2-3"/>
    <s v="123-1"/>
    <n v="4000"/>
    <n v="123"/>
    <n v="5555"/>
    <n v="10000000"/>
    <n v="50000"/>
    <n v="10000"/>
    <n v="10000000"/>
    <n v="7000000"/>
    <n v="50000"/>
    <n v="10000"/>
  </r>
  <r>
    <n v="25"/>
    <x v="11"/>
    <x v="11"/>
    <x v="0"/>
    <s v="no"/>
    <s v="豊島区南池袋1-2-3"/>
    <m/>
    <n v="5000"/>
    <n v="123"/>
    <n v="5555"/>
    <n v="1000000"/>
    <n v="1000"/>
    <n v="1000"/>
    <n v="1000000"/>
    <n v="700000"/>
    <n v="1000"/>
    <n v="1000"/>
  </r>
  <r>
    <n v="26"/>
    <x v="11"/>
    <x v="11"/>
    <x v="1"/>
    <s v="-"/>
    <s v="豊島区南池袋1-2-3"/>
    <s v="123-1"/>
    <n v="4000"/>
    <n v="123"/>
    <n v="5555"/>
    <n v="10000000"/>
    <n v="50000"/>
    <n v="10000"/>
    <n v="10000000"/>
    <n v="7000000"/>
    <n v="50000"/>
    <n v="10000"/>
  </r>
  <r>
    <n v="27"/>
    <x v="12"/>
    <x v="12"/>
    <x v="0"/>
    <s v="no"/>
    <s v="豊島区南池袋1-2-3"/>
    <m/>
    <n v="5000"/>
    <n v="123"/>
    <n v="5555"/>
    <n v="1000000"/>
    <n v="1000"/>
    <n v="1000"/>
    <n v="1000000"/>
    <n v="700000"/>
    <n v="1000"/>
    <n v="1000"/>
  </r>
  <r>
    <n v="28"/>
    <x v="12"/>
    <x v="12"/>
    <x v="1"/>
    <s v="-"/>
    <s v="豊島区南池袋1-2-3"/>
    <s v="123-1"/>
    <n v="4000"/>
    <n v="123"/>
    <n v="5555"/>
    <n v="10000000"/>
    <n v="50000"/>
    <n v="10000"/>
    <n v="10000000"/>
    <n v="7000000"/>
    <n v="50000"/>
    <n v="10000"/>
  </r>
  <r>
    <n v="29"/>
    <x v="13"/>
    <x v="13"/>
    <x v="0"/>
    <s v="no"/>
    <s v="豊島区南池袋1-2-3"/>
    <m/>
    <n v="5000"/>
    <n v="123"/>
    <n v="5555"/>
    <n v="1000000"/>
    <n v="1000"/>
    <n v="1000"/>
    <n v="1000000"/>
    <n v="700000"/>
    <n v="1000"/>
    <n v="1000"/>
  </r>
  <r>
    <n v="30"/>
    <x v="13"/>
    <x v="13"/>
    <x v="1"/>
    <s v="-"/>
    <s v="豊島区南池袋1-2-3"/>
    <s v="123-1"/>
    <n v="4000"/>
    <n v="123"/>
    <n v="5555"/>
    <n v="10000000"/>
    <n v="50000"/>
    <n v="10000"/>
    <n v="1000000"/>
    <n v="700000"/>
    <n v="1000"/>
    <n v="1000"/>
  </r>
  <r>
    <m/>
    <x v="14"/>
    <x v="14"/>
    <x v="2"/>
    <m/>
    <m/>
    <m/>
    <m/>
    <m/>
    <m/>
    <m/>
    <m/>
    <m/>
    <m/>
    <m/>
    <m/>
    <m/>
  </r>
  <r>
    <m/>
    <x v="14"/>
    <x v="14"/>
    <x v="2"/>
    <m/>
    <m/>
    <m/>
    <m/>
    <m/>
    <m/>
    <m/>
    <m/>
    <m/>
    <m/>
    <m/>
    <m/>
    <m/>
  </r>
  <r>
    <m/>
    <x v="14"/>
    <x v="14"/>
    <x v="2"/>
    <m/>
    <m/>
    <m/>
    <m/>
    <m/>
    <m/>
    <m/>
    <m/>
    <m/>
    <m/>
    <m/>
    <m/>
    <m/>
  </r>
  <r>
    <m/>
    <x v="14"/>
    <x v="14"/>
    <x v="2"/>
    <m/>
    <m/>
    <m/>
    <m/>
    <m/>
    <m/>
    <m/>
    <m/>
    <m/>
    <m/>
    <m/>
    <m/>
    <m/>
  </r>
  <r>
    <m/>
    <x v="14"/>
    <x v="14"/>
    <x v="2"/>
    <m/>
    <m/>
    <m/>
    <m/>
    <m/>
    <m/>
    <m/>
    <m/>
    <m/>
    <m/>
    <m/>
    <m/>
    <m/>
  </r>
  <r>
    <m/>
    <x v="14"/>
    <x v="14"/>
    <x v="2"/>
    <m/>
    <m/>
    <m/>
    <m/>
    <m/>
    <m/>
    <m/>
    <m/>
    <m/>
    <m/>
    <m/>
    <m/>
    <m/>
  </r>
  <r>
    <m/>
    <x v="14"/>
    <x v="14"/>
    <x v="2"/>
    <m/>
    <m/>
    <m/>
    <m/>
    <m/>
    <m/>
    <m/>
    <m/>
    <m/>
    <m/>
    <m/>
    <m/>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n v="201"/>
    <x v="0"/>
    <x v="0"/>
    <n v="20000"/>
  </r>
  <r>
    <n v="201"/>
    <x v="0"/>
    <x v="1"/>
    <n v="30000"/>
  </r>
  <r>
    <n v="202"/>
    <x v="1"/>
    <x v="0"/>
    <n v="20000"/>
  </r>
  <r>
    <n v="202"/>
    <x v="1"/>
    <x v="1"/>
    <n v="30000"/>
  </r>
  <r>
    <n v="203"/>
    <x v="2"/>
    <x v="0"/>
    <n v="20000"/>
  </r>
  <r>
    <n v="203"/>
    <x v="2"/>
    <x v="1"/>
    <n v="30000"/>
  </r>
  <r>
    <n v="204"/>
    <x v="3"/>
    <x v="0"/>
    <n v="20000"/>
  </r>
  <r>
    <n v="204"/>
    <x v="3"/>
    <x v="1"/>
    <n v="30000"/>
  </r>
  <r>
    <n v="205"/>
    <x v="4"/>
    <x v="0"/>
    <n v="20000"/>
  </r>
  <r>
    <n v="205"/>
    <x v="4"/>
    <x v="1"/>
    <n v="30000"/>
  </r>
  <r>
    <n v="206"/>
    <x v="5"/>
    <x v="0"/>
    <n v="20000"/>
  </r>
  <r>
    <n v="206"/>
    <x v="5"/>
    <x v="1"/>
    <n v="30000"/>
  </r>
  <r>
    <n v="207"/>
    <x v="6"/>
    <x v="0"/>
    <n v="20000"/>
  </r>
  <r>
    <n v="207"/>
    <x v="6"/>
    <x v="1"/>
    <n v="30000"/>
  </r>
  <r>
    <n v="208"/>
    <x v="7"/>
    <x v="0"/>
    <n v="20000"/>
  </r>
  <r>
    <n v="208"/>
    <x v="7"/>
    <x v="1"/>
    <n v="30000"/>
  </r>
  <r>
    <n v="301"/>
    <x v="8"/>
    <x v="2"/>
    <n v="20000"/>
  </r>
  <r>
    <n v="301"/>
    <x v="8"/>
    <x v="3"/>
    <n v="30000"/>
  </r>
  <r>
    <n v="302"/>
    <x v="9"/>
    <x v="2"/>
    <n v="20000"/>
  </r>
  <r>
    <n v="302"/>
    <x v="9"/>
    <x v="3"/>
    <n v="30000"/>
  </r>
  <r>
    <n v="303"/>
    <x v="10"/>
    <x v="2"/>
    <n v="20000"/>
  </r>
  <r>
    <n v="303"/>
    <x v="10"/>
    <x v="3"/>
    <n v="30000"/>
  </r>
  <r>
    <n v="304"/>
    <x v="11"/>
    <x v="2"/>
    <n v="20000"/>
  </r>
  <r>
    <n v="304"/>
    <x v="11"/>
    <x v="3"/>
    <n v="30000"/>
  </r>
  <r>
    <n v="305"/>
    <x v="12"/>
    <x v="2"/>
    <n v="20000"/>
  </r>
  <r>
    <n v="305"/>
    <x v="12"/>
    <x v="3"/>
    <n v="30000"/>
  </r>
  <r>
    <n v="306"/>
    <x v="13"/>
    <x v="2"/>
    <n v="20000"/>
  </r>
  <r>
    <n v="306"/>
    <x v="13"/>
    <x v="3"/>
    <n v="30000"/>
  </r>
  <r>
    <m/>
    <x v="14"/>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6AFFBD7-BB62-4842-8889-B9B3268D5153}" name="ピボットテーブル6" cacheId="68" applyNumberFormats="0" applyBorderFormats="0" applyFontFormats="0" applyPatternFormats="0" applyAlignmentFormats="0" applyWidthHeightFormats="1" dataCaption="値" updatedVersion="6" minRefreshableVersion="3" colGrandTotals="0" itemPrintTitles="1" createdVersion="6" indent="0" outline="1" outlineData="1" multipleFieldFilters="0">
  <location ref="A2:E33" firstHeaderRow="1" firstDataRow="3" firstDataCol="1"/>
  <pivotFields count="26">
    <pivotField showAll="0"/>
    <pivotField axis="axisRow" showAll="0">
      <items count="16">
        <item x="0"/>
        <item x="1"/>
        <item x="2"/>
        <item x="3"/>
        <item x="4"/>
        <item x="5"/>
        <item x="6"/>
        <item x="7"/>
        <item x="8"/>
        <item x="9"/>
        <item x="10"/>
        <item x="11"/>
        <item x="12"/>
        <item x="13"/>
        <item x="14"/>
        <item t="default"/>
      </items>
    </pivotField>
    <pivotField axis="axisRow" showAll="0">
      <items count="18">
        <item x="7"/>
        <item x="5"/>
        <item x="8"/>
        <item x="9"/>
        <item x="4"/>
        <item x="3"/>
        <item x="0"/>
        <item x="12"/>
        <item x="11"/>
        <item x="10"/>
        <item m="1" x="15"/>
        <item m="1" x="16"/>
        <item x="6"/>
        <item x="13"/>
        <item x="14"/>
        <item x="1"/>
        <item x="2"/>
        <item t="default"/>
      </items>
    </pivotField>
    <pivotField axis="axisCol" showAll="0">
      <items count="4">
        <item x="1"/>
        <item x="0"/>
        <item h="1" x="2"/>
        <item t="default"/>
      </items>
    </pivotField>
    <pivotField showAll="0"/>
    <pivotField showAll="0"/>
    <pivotField showAll="0"/>
    <pivotField dataField="1"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2"/>
  </rowFields>
  <rowItems count="29">
    <i>
      <x/>
    </i>
    <i r="1">
      <x v="6"/>
    </i>
    <i>
      <x v="1"/>
    </i>
    <i r="1">
      <x v="15"/>
    </i>
    <i>
      <x v="2"/>
    </i>
    <i r="1">
      <x v="16"/>
    </i>
    <i>
      <x v="3"/>
    </i>
    <i r="1">
      <x v="5"/>
    </i>
    <i>
      <x v="4"/>
    </i>
    <i r="1">
      <x v="4"/>
    </i>
    <i>
      <x v="5"/>
    </i>
    <i r="1">
      <x v="1"/>
    </i>
    <i>
      <x v="6"/>
    </i>
    <i r="1">
      <x v="12"/>
    </i>
    <i>
      <x v="7"/>
    </i>
    <i r="1">
      <x/>
    </i>
    <i>
      <x v="8"/>
    </i>
    <i r="1">
      <x v="2"/>
    </i>
    <i>
      <x v="9"/>
    </i>
    <i r="1">
      <x v="3"/>
    </i>
    <i>
      <x v="10"/>
    </i>
    <i r="1">
      <x v="9"/>
    </i>
    <i>
      <x v="11"/>
    </i>
    <i r="1">
      <x v="8"/>
    </i>
    <i>
      <x v="12"/>
    </i>
    <i r="1">
      <x v="7"/>
    </i>
    <i>
      <x v="13"/>
    </i>
    <i r="1">
      <x v="13"/>
    </i>
    <i t="grand">
      <x/>
    </i>
  </rowItems>
  <colFields count="2">
    <field x="3"/>
    <field x="-2"/>
  </colFields>
  <colItems count="4">
    <i>
      <x/>
      <x/>
    </i>
    <i r="1" i="1">
      <x v="1"/>
    </i>
    <i>
      <x v="1"/>
      <x/>
    </i>
    <i r="1" i="1">
      <x v="1"/>
    </i>
  </colItems>
  <dataFields count="2">
    <dataField name="合計 / 面積(評価証明)" fld="7" baseField="0" baseItem="0"/>
    <dataField name="合計 / 当該資産評価額" fld="10" baseField="0" baseItem="0"/>
  </dataFields>
  <formats count="118">
    <format dxfId="546">
      <pivotArea collapsedLevelsAreSubtotals="1" fieldPosition="0">
        <references count="3">
          <reference field="4294967294" count="1" selected="0">
            <x v="0"/>
          </reference>
          <reference field="1" count="1">
            <x v="0"/>
          </reference>
          <reference field="3" count="1" selected="0">
            <x v="0"/>
          </reference>
        </references>
      </pivotArea>
    </format>
    <format dxfId="545">
      <pivotArea collapsedLevelsAreSubtotals="1" fieldPosition="0">
        <references count="4">
          <reference field="4294967294" count="1" selected="0">
            <x v="0"/>
          </reference>
          <reference field="1" count="1" selected="0">
            <x v="0"/>
          </reference>
          <reference field="2" count="1">
            <x v="6"/>
          </reference>
          <reference field="3" count="1" selected="0">
            <x v="0"/>
          </reference>
        </references>
      </pivotArea>
    </format>
    <format dxfId="544">
      <pivotArea collapsedLevelsAreSubtotals="1" fieldPosition="0">
        <references count="3">
          <reference field="4294967294" count="1" selected="0">
            <x v="0"/>
          </reference>
          <reference field="1" count="1">
            <x v="1"/>
          </reference>
          <reference field="3" count="1" selected="0">
            <x v="0"/>
          </reference>
        </references>
      </pivotArea>
    </format>
    <format dxfId="543">
      <pivotArea collapsedLevelsAreSubtotals="1" fieldPosition="0">
        <references count="4">
          <reference field="4294967294" count="1" selected="0">
            <x v="0"/>
          </reference>
          <reference field="1" count="1" selected="0">
            <x v="1"/>
          </reference>
          <reference field="2" count="1">
            <x v="10"/>
          </reference>
          <reference field="3" count="1" selected="0">
            <x v="0"/>
          </reference>
        </references>
      </pivotArea>
    </format>
    <format dxfId="542">
      <pivotArea collapsedLevelsAreSubtotals="1" fieldPosition="0">
        <references count="3">
          <reference field="4294967294" count="1" selected="0">
            <x v="0"/>
          </reference>
          <reference field="1" count="1">
            <x v="2"/>
          </reference>
          <reference field="3" count="1" selected="0">
            <x v="0"/>
          </reference>
        </references>
      </pivotArea>
    </format>
    <format dxfId="541">
      <pivotArea collapsedLevelsAreSubtotals="1" fieldPosition="0">
        <references count="4">
          <reference field="4294967294" count="1" selected="0">
            <x v="0"/>
          </reference>
          <reference field="1" count="1" selected="0">
            <x v="2"/>
          </reference>
          <reference field="2" count="1">
            <x v="11"/>
          </reference>
          <reference field="3" count="1" selected="0">
            <x v="0"/>
          </reference>
        </references>
      </pivotArea>
    </format>
    <format dxfId="540">
      <pivotArea collapsedLevelsAreSubtotals="1" fieldPosition="0">
        <references count="3">
          <reference field="4294967294" count="1" selected="0">
            <x v="0"/>
          </reference>
          <reference field="1" count="1">
            <x v="3"/>
          </reference>
          <reference field="3" count="1" selected="0">
            <x v="0"/>
          </reference>
        </references>
      </pivotArea>
    </format>
    <format dxfId="539">
      <pivotArea collapsedLevelsAreSubtotals="1" fieldPosition="0">
        <references count="4">
          <reference field="4294967294" count="1" selected="0">
            <x v="0"/>
          </reference>
          <reference field="1" count="1" selected="0">
            <x v="3"/>
          </reference>
          <reference field="2" count="1">
            <x v="5"/>
          </reference>
          <reference field="3" count="1" selected="0">
            <x v="0"/>
          </reference>
        </references>
      </pivotArea>
    </format>
    <format dxfId="538">
      <pivotArea collapsedLevelsAreSubtotals="1" fieldPosition="0">
        <references count="3">
          <reference field="4294967294" count="1" selected="0">
            <x v="0"/>
          </reference>
          <reference field="1" count="1">
            <x v="4"/>
          </reference>
          <reference field="3" count="1" selected="0">
            <x v="0"/>
          </reference>
        </references>
      </pivotArea>
    </format>
    <format dxfId="537">
      <pivotArea collapsedLevelsAreSubtotals="1" fieldPosition="0">
        <references count="4">
          <reference field="4294967294" count="1" selected="0">
            <x v="0"/>
          </reference>
          <reference field="1" count="1" selected="0">
            <x v="4"/>
          </reference>
          <reference field="2" count="1">
            <x v="4"/>
          </reference>
          <reference field="3" count="1" selected="0">
            <x v="0"/>
          </reference>
        </references>
      </pivotArea>
    </format>
    <format dxfId="536">
      <pivotArea collapsedLevelsAreSubtotals="1" fieldPosition="0">
        <references count="3">
          <reference field="4294967294" count="1" selected="0">
            <x v="0"/>
          </reference>
          <reference field="1" count="1">
            <x v="5"/>
          </reference>
          <reference field="3" count="1" selected="0">
            <x v="0"/>
          </reference>
        </references>
      </pivotArea>
    </format>
    <format dxfId="535">
      <pivotArea collapsedLevelsAreSubtotals="1" fieldPosition="0">
        <references count="4">
          <reference field="4294967294" count="1" selected="0">
            <x v="0"/>
          </reference>
          <reference field="1" count="1" selected="0">
            <x v="5"/>
          </reference>
          <reference field="2" count="1">
            <x v="1"/>
          </reference>
          <reference field="3" count="1" selected="0">
            <x v="0"/>
          </reference>
        </references>
      </pivotArea>
    </format>
    <format dxfId="534">
      <pivotArea collapsedLevelsAreSubtotals="1" fieldPosition="0">
        <references count="3">
          <reference field="4294967294" count="1" selected="0">
            <x v="0"/>
          </reference>
          <reference field="1" count="1">
            <x v="6"/>
          </reference>
          <reference field="3" count="1" selected="0">
            <x v="0"/>
          </reference>
        </references>
      </pivotArea>
    </format>
    <format dxfId="533">
      <pivotArea collapsedLevelsAreSubtotals="1" fieldPosition="0">
        <references count="4">
          <reference field="4294967294" count="1" selected="0">
            <x v="0"/>
          </reference>
          <reference field="1" count="1" selected="0">
            <x v="6"/>
          </reference>
          <reference field="2" count="1">
            <x v="12"/>
          </reference>
          <reference field="3" count="1" selected="0">
            <x v="0"/>
          </reference>
        </references>
      </pivotArea>
    </format>
    <format dxfId="532">
      <pivotArea collapsedLevelsAreSubtotals="1" fieldPosition="0">
        <references count="3">
          <reference field="4294967294" count="1" selected="0">
            <x v="0"/>
          </reference>
          <reference field="1" count="1">
            <x v="7"/>
          </reference>
          <reference field="3" count="1" selected="0">
            <x v="0"/>
          </reference>
        </references>
      </pivotArea>
    </format>
    <format dxfId="531">
      <pivotArea collapsedLevelsAreSubtotals="1" fieldPosition="0">
        <references count="4">
          <reference field="4294967294" count="1" selected="0">
            <x v="0"/>
          </reference>
          <reference field="1" count="1" selected="0">
            <x v="7"/>
          </reference>
          <reference field="2" count="1">
            <x v="0"/>
          </reference>
          <reference field="3" count="1" selected="0">
            <x v="0"/>
          </reference>
        </references>
      </pivotArea>
    </format>
    <format dxfId="530">
      <pivotArea collapsedLevelsAreSubtotals="1" fieldPosition="0">
        <references count="3">
          <reference field="4294967294" count="1" selected="0">
            <x v="0"/>
          </reference>
          <reference field="1" count="1">
            <x v="8"/>
          </reference>
          <reference field="3" count="1" selected="0">
            <x v="0"/>
          </reference>
        </references>
      </pivotArea>
    </format>
    <format dxfId="529">
      <pivotArea collapsedLevelsAreSubtotals="1" fieldPosition="0">
        <references count="4">
          <reference field="4294967294" count="1" selected="0">
            <x v="0"/>
          </reference>
          <reference field="1" count="1" selected="0">
            <x v="8"/>
          </reference>
          <reference field="2" count="1">
            <x v="2"/>
          </reference>
          <reference field="3" count="1" selected="0">
            <x v="0"/>
          </reference>
        </references>
      </pivotArea>
    </format>
    <format dxfId="528">
      <pivotArea collapsedLevelsAreSubtotals="1" fieldPosition="0">
        <references count="3">
          <reference field="4294967294" count="1" selected="0">
            <x v="0"/>
          </reference>
          <reference field="1" count="1">
            <x v="9"/>
          </reference>
          <reference field="3" count="1" selected="0">
            <x v="0"/>
          </reference>
        </references>
      </pivotArea>
    </format>
    <format dxfId="527">
      <pivotArea collapsedLevelsAreSubtotals="1" fieldPosition="0">
        <references count="4">
          <reference field="4294967294" count="1" selected="0">
            <x v="0"/>
          </reference>
          <reference field="1" count="1" selected="0">
            <x v="9"/>
          </reference>
          <reference field="2" count="1">
            <x v="3"/>
          </reference>
          <reference field="3" count="1" selected="0">
            <x v="0"/>
          </reference>
        </references>
      </pivotArea>
    </format>
    <format dxfId="526">
      <pivotArea collapsedLevelsAreSubtotals="1" fieldPosition="0">
        <references count="3">
          <reference field="4294967294" count="1" selected="0">
            <x v="0"/>
          </reference>
          <reference field="1" count="1">
            <x v="10"/>
          </reference>
          <reference field="3" count="1" selected="0">
            <x v="0"/>
          </reference>
        </references>
      </pivotArea>
    </format>
    <format dxfId="525">
      <pivotArea collapsedLevelsAreSubtotals="1" fieldPosition="0">
        <references count="4">
          <reference field="4294967294" count="1" selected="0">
            <x v="0"/>
          </reference>
          <reference field="1" count="1" selected="0">
            <x v="10"/>
          </reference>
          <reference field="2" count="1">
            <x v="9"/>
          </reference>
          <reference field="3" count="1" selected="0">
            <x v="0"/>
          </reference>
        </references>
      </pivotArea>
    </format>
    <format dxfId="524">
      <pivotArea collapsedLevelsAreSubtotals="1" fieldPosition="0">
        <references count="3">
          <reference field="4294967294" count="1" selected="0">
            <x v="0"/>
          </reference>
          <reference field="1" count="1">
            <x v="11"/>
          </reference>
          <reference field="3" count="1" selected="0">
            <x v="0"/>
          </reference>
        </references>
      </pivotArea>
    </format>
    <format dxfId="523">
      <pivotArea collapsedLevelsAreSubtotals="1" fieldPosition="0">
        <references count="4">
          <reference field="4294967294" count="1" selected="0">
            <x v="0"/>
          </reference>
          <reference field="1" count="1" selected="0">
            <x v="11"/>
          </reference>
          <reference field="2" count="1">
            <x v="8"/>
          </reference>
          <reference field="3" count="1" selected="0">
            <x v="0"/>
          </reference>
        </references>
      </pivotArea>
    </format>
    <format dxfId="522">
      <pivotArea collapsedLevelsAreSubtotals="1" fieldPosition="0">
        <references count="3">
          <reference field="4294967294" count="1" selected="0">
            <x v="0"/>
          </reference>
          <reference field="1" count="1">
            <x v="12"/>
          </reference>
          <reference field="3" count="1" selected="0">
            <x v="0"/>
          </reference>
        </references>
      </pivotArea>
    </format>
    <format dxfId="521">
      <pivotArea collapsedLevelsAreSubtotals="1" fieldPosition="0">
        <references count="4">
          <reference field="4294967294" count="1" selected="0">
            <x v="0"/>
          </reference>
          <reference field="1" count="1" selected="0">
            <x v="12"/>
          </reference>
          <reference field="2" count="1">
            <x v="7"/>
          </reference>
          <reference field="3" count="1" selected="0">
            <x v="0"/>
          </reference>
        </references>
      </pivotArea>
    </format>
    <format dxfId="520">
      <pivotArea collapsedLevelsAreSubtotals="1" fieldPosition="0">
        <references count="3">
          <reference field="4294967294" count="1" selected="0">
            <x v="0"/>
          </reference>
          <reference field="1" count="1">
            <x v="13"/>
          </reference>
          <reference field="3" count="1" selected="0">
            <x v="0"/>
          </reference>
        </references>
      </pivotArea>
    </format>
    <format dxfId="519">
      <pivotArea collapsedLevelsAreSubtotals="1" fieldPosition="0">
        <references count="4">
          <reference field="4294967294" count="1" selected="0">
            <x v="0"/>
          </reference>
          <reference field="1" count="1" selected="0">
            <x v="13"/>
          </reference>
          <reference field="2" count="1">
            <x v="13"/>
          </reference>
          <reference field="3" count="1" selected="0">
            <x v="0"/>
          </reference>
        </references>
      </pivotArea>
    </format>
    <format dxfId="518">
      <pivotArea collapsedLevelsAreSubtotals="1" fieldPosition="0">
        <references count="3">
          <reference field="4294967294" count="1" selected="0">
            <x v="0"/>
          </reference>
          <reference field="1" count="1">
            <x v="14"/>
          </reference>
          <reference field="3" count="1" selected="0">
            <x v="0"/>
          </reference>
        </references>
      </pivotArea>
    </format>
    <format dxfId="517">
      <pivotArea collapsedLevelsAreSubtotals="1" fieldPosition="0">
        <references count="4">
          <reference field="4294967294" count="1" selected="0">
            <x v="0"/>
          </reference>
          <reference field="1" count="1" selected="0">
            <x v="14"/>
          </reference>
          <reference field="2" count="1">
            <x v="14"/>
          </reference>
          <reference field="3" count="1" selected="0">
            <x v="0"/>
          </reference>
        </references>
      </pivotArea>
    </format>
    <format dxfId="516">
      <pivotArea collapsedLevelsAreSubtotals="1" fieldPosition="0">
        <references count="3">
          <reference field="4294967294" count="1" selected="0">
            <x v="0"/>
          </reference>
          <reference field="1" count="1">
            <x v="0"/>
          </reference>
          <reference field="3" count="1" selected="0">
            <x v="1"/>
          </reference>
        </references>
      </pivotArea>
    </format>
    <format dxfId="515">
      <pivotArea collapsedLevelsAreSubtotals="1" fieldPosition="0">
        <references count="4">
          <reference field="4294967294" count="1" selected="0">
            <x v="0"/>
          </reference>
          <reference field="1" count="1" selected="0">
            <x v="0"/>
          </reference>
          <reference field="2" count="1">
            <x v="6"/>
          </reference>
          <reference field="3" count="1" selected="0">
            <x v="1"/>
          </reference>
        </references>
      </pivotArea>
    </format>
    <format dxfId="514">
      <pivotArea collapsedLevelsAreSubtotals="1" fieldPosition="0">
        <references count="3">
          <reference field="4294967294" count="1" selected="0">
            <x v="0"/>
          </reference>
          <reference field="1" count="1">
            <x v="1"/>
          </reference>
          <reference field="3" count="1" selected="0">
            <x v="1"/>
          </reference>
        </references>
      </pivotArea>
    </format>
    <format dxfId="513">
      <pivotArea collapsedLevelsAreSubtotals="1" fieldPosition="0">
        <references count="4">
          <reference field="4294967294" count="1" selected="0">
            <x v="0"/>
          </reference>
          <reference field="1" count="1" selected="0">
            <x v="1"/>
          </reference>
          <reference field="2" count="1">
            <x v="10"/>
          </reference>
          <reference field="3" count="1" selected="0">
            <x v="1"/>
          </reference>
        </references>
      </pivotArea>
    </format>
    <format dxfId="512">
      <pivotArea collapsedLevelsAreSubtotals="1" fieldPosition="0">
        <references count="3">
          <reference field="4294967294" count="1" selected="0">
            <x v="0"/>
          </reference>
          <reference field="1" count="1">
            <x v="2"/>
          </reference>
          <reference field="3" count="1" selected="0">
            <x v="1"/>
          </reference>
        </references>
      </pivotArea>
    </format>
    <format dxfId="511">
      <pivotArea collapsedLevelsAreSubtotals="1" fieldPosition="0">
        <references count="4">
          <reference field="4294967294" count="1" selected="0">
            <x v="0"/>
          </reference>
          <reference field="1" count="1" selected="0">
            <x v="2"/>
          </reference>
          <reference field="2" count="1">
            <x v="11"/>
          </reference>
          <reference field="3" count="1" selected="0">
            <x v="1"/>
          </reference>
        </references>
      </pivotArea>
    </format>
    <format dxfId="510">
      <pivotArea collapsedLevelsAreSubtotals="1" fieldPosition="0">
        <references count="3">
          <reference field="4294967294" count="1" selected="0">
            <x v="0"/>
          </reference>
          <reference field="1" count="1">
            <x v="3"/>
          </reference>
          <reference field="3" count="1" selected="0">
            <x v="1"/>
          </reference>
        </references>
      </pivotArea>
    </format>
    <format dxfId="509">
      <pivotArea collapsedLevelsAreSubtotals="1" fieldPosition="0">
        <references count="4">
          <reference field="4294967294" count="1" selected="0">
            <x v="0"/>
          </reference>
          <reference field="1" count="1" selected="0">
            <x v="3"/>
          </reference>
          <reference field="2" count="1">
            <x v="5"/>
          </reference>
          <reference field="3" count="1" selected="0">
            <x v="1"/>
          </reference>
        </references>
      </pivotArea>
    </format>
    <format dxfId="508">
      <pivotArea collapsedLevelsAreSubtotals="1" fieldPosition="0">
        <references count="3">
          <reference field="4294967294" count="1" selected="0">
            <x v="0"/>
          </reference>
          <reference field="1" count="1">
            <x v="4"/>
          </reference>
          <reference field="3" count="1" selected="0">
            <x v="1"/>
          </reference>
        </references>
      </pivotArea>
    </format>
    <format dxfId="507">
      <pivotArea collapsedLevelsAreSubtotals="1" fieldPosition="0">
        <references count="4">
          <reference field="4294967294" count="1" selected="0">
            <x v="0"/>
          </reference>
          <reference field="1" count="1" selected="0">
            <x v="4"/>
          </reference>
          <reference field="2" count="1">
            <x v="4"/>
          </reference>
          <reference field="3" count="1" selected="0">
            <x v="1"/>
          </reference>
        </references>
      </pivotArea>
    </format>
    <format dxfId="506">
      <pivotArea collapsedLevelsAreSubtotals="1" fieldPosition="0">
        <references count="3">
          <reference field="4294967294" count="1" selected="0">
            <x v="0"/>
          </reference>
          <reference field="1" count="1">
            <x v="5"/>
          </reference>
          <reference field="3" count="1" selected="0">
            <x v="1"/>
          </reference>
        </references>
      </pivotArea>
    </format>
    <format dxfId="505">
      <pivotArea collapsedLevelsAreSubtotals="1" fieldPosition="0">
        <references count="4">
          <reference field="4294967294" count="1" selected="0">
            <x v="0"/>
          </reference>
          <reference field="1" count="1" selected="0">
            <x v="5"/>
          </reference>
          <reference field="2" count="1">
            <x v="1"/>
          </reference>
          <reference field="3" count="1" selected="0">
            <x v="1"/>
          </reference>
        </references>
      </pivotArea>
    </format>
    <format dxfId="504">
      <pivotArea collapsedLevelsAreSubtotals="1" fieldPosition="0">
        <references count="3">
          <reference field="4294967294" count="1" selected="0">
            <x v="0"/>
          </reference>
          <reference field="1" count="1">
            <x v="6"/>
          </reference>
          <reference field="3" count="1" selected="0">
            <x v="1"/>
          </reference>
        </references>
      </pivotArea>
    </format>
    <format dxfId="503">
      <pivotArea collapsedLevelsAreSubtotals="1" fieldPosition="0">
        <references count="4">
          <reference field="4294967294" count="1" selected="0">
            <x v="0"/>
          </reference>
          <reference field="1" count="1" selected="0">
            <x v="6"/>
          </reference>
          <reference field="2" count="1">
            <x v="12"/>
          </reference>
          <reference field="3" count="1" selected="0">
            <x v="1"/>
          </reference>
        </references>
      </pivotArea>
    </format>
    <format dxfId="502">
      <pivotArea collapsedLevelsAreSubtotals="1" fieldPosition="0">
        <references count="3">
          <reference field="4294967294" count="1" selected="0">
            <x v="0"/>
          </reference>
          <reference field="1" count="1">
            <x v="7"/>
          </reference>
          <reference field="3" count="1" selected="0">
            <x v="1"/>
          </reference>
        </references>
      </pivotArea>
    </format>
    <format dxfId="501">
      <pivotArea collapsedLevelsAreSubtotals="1" fieldPosition="0">
        <references count="4">
          <reference field="4294967294" count="1" selected="0">
            <x v="0"/>
          </reference>
          <reference field="1" count="1" selected="0">
            <x v="7"/>
          </reference>
          <reference field="2" count="1">
            <x v="0"/>
          </reference>
          <reference field="3" count="1" selected="0">
            <x v="1"/>
          </reference>
        </references>
      </pivotArea>
    </format>
    <format dxfId="500">
      <pivotArea collapsedLevelsAreSubtotals="1" fieldPosition="0">
        <references count="3">
          <reference field="4294967294" count="1" selected="0">
            <x v="0"/>
          </reference>
          <reference field="1" count="1">
            <x v="8"/>
          </reference>
          <reference field="3" count="1" selected="0">
            <x v="1"/>
          </reference>
        </references>
      </pivotArea>
    </format>
    <format dxfId="499">
      <pivotArea collapsedLevelsAreSubtotals="1" fieldPosition="0">
        <references count="4">
          <reference field="4294967294" count="1" selected="0">
            <x v="0"/>
          </reference>
          <reference field="1" count="1" selected="0">
            <x v="8"/>
          </reference>
          <reference field="2" count="1">
            <x v="2"/>
          </reference>
          <reference field="3" count="1" selected="0">
            <x v="1"/>
          </reference>
        </references>
      </pivotArea>
    </format>
    <format dxfId="498">
      <pivotArea collapsedLevelsAreSubtotals="1" fieldPosition="0">
        <references count="3">
          <reference field="4294967294" count="1" selected="0">
            <x v="0"/>
          </reference>
          <reference field="1" count="1">
            <x v="9"/>
          </reference>
          <reference field="3" count="1" selected="0">
            <x v="1"/>
          </reference>
        </references>
      </pivotArea>
    </format>
    <format dxfId="497">
      <pivotArea collapsedLevelsAreSubtotals="1" fieldPosition="0">
        <references count="4">
          <reference field="4294967294" count="1" selected="0">
            <x v="0"/>
          </reference>
          <reference field="1" count="1" selected="0">
            <x v="9"/>
          </reference>
          <reference field="2" count="1">
            <x v="3"/>
          </reference>
          <reference field="3" count="1" selected="0">
            <x v="1"/>
          </reference>
        </references>
      </pivotArea>
    </format>
    <format dxfId="496">
      <pivotArea collapsedLevelsAreSubtotals="1" fieldPosition="0">
        <references count="3">
          <reference field="4294967294" count="1" selected="0">
            <x v="0"/>
          </reference>
          <reference field="1" count="1">
            <x v="10"/>
          </reference>
          <reference field="3" count="1" selected="0">
            <x v="1"/>
          </reference>
        </references>
      </pivotArea>
    </format>
    <format dxfId="495">
      <pivotArea collapsedLevelsAreSubtotals="1" fieldPosition="0">
        <references count="4">
          <reference field="4294967294" count="1" selected="0">
            <x v="0"/>
          </reference>
          <reference field="1" count="1" selected="0">
            <x v="10"/>
          </reference>
          <reference field="2" count="1">
            <x v="9"/>
          </reference>
          <reference field="3" count="1" selected="0">
            <x v="1"/>
          </reference>
        </references>
      </pivotArea>
    </format>
    <format dxfId="494">
      <pivotArea collapsedLevelsAreSubtotals="1" fieldPosition="0">
        <references count="3">
          <reference field="4294967294" count="1" selected="0">
            <x v="0"/>
          </reference>
          <reference field="1" count="1">
            <x v="11"/>
          </reference>
          <reference field="3" count="1" selected="0">
            <x v="1"/>
          </reference>
        </references>
      </pivotArea>
    </format>
    <format dxfId="493">
      <pivotArea collapsedLevelsAreSubtotals="1" fieldPosition="0">
        <references count="4">
          <reference field="4294967294" count="1" selected="0">
            <x v="0"/>
          </reference>
          <reference field="1" count="1" selected="0">
            <x v="11"/>
          </reference>
          <reference field="2" count="1">
            <x v="8"/>
          </reference>
          <reference field="3" count="1" selected="0">
            <x v="1"/>
          </reference>
        </references>
      </pivotArea>
    </format>
    <format dxfId="492">
      <pivotArea collapsedLevelsAreSubtotals="1" fieldPosition="0">
        <references count="3">
          <reference field="4294967294" count="1" selected="0">
            <x v="0"/>
          </reference>
          <reference field="1" count="1">
            <x v="12"/>
          </reference>
          <reference field="3" count="1" selected="0">
            <x v="1"/>
          </reference>
        </references>
      </pivotArea>
    </format>
    <format dxfId="491">
      <pivotArea collapsedLevelsAreSubtotals="1" fieldPosition="0">
        <references count="4">
          <reference field="4294967294" count="1" selected="0">
            <x v="0"/>
          </reference>
          <reference field="1" count="1" selected="0">
            <x v="12"/>
          </reference>
          <reference field="2" count="1">
            <x v="7"/>
          </reference>
          <reference field="3" count="1" selected="0">
            <x v="1"/>
          </reference>
        </references>
      </pivotArea>
    </format>
    <format dxfId="490">
      <pivotArea collapsedLevelsAreSubtotals="1" fieldPosition="0">
        <references count="3">
          <reference field="4294967294" count="1" selected="0">
            <x v="0"/>
          </reference>
          <reference field="1" count="1">
            <x v="13"/>
          </reference>
          <reference field="3" count="1" selected="0">
            <x v="1"/>
          </reference>
        </references>
      </pivotArea>
    </format>
    <format dxfId="489">
      <pivotArea collapsedLevelsAreSubtotals="1" fieldPosition="0">
        <references count="4">
          <reference field="4294967294" count="1" selected="0">
            <x v="0"/>
          </reference>
          <reference field="1" count="1" selected="0">
            <x v="13"/>
          </reference>
          <reference field="2" count="1">
            <x v="13"/>
          </reference>
          <reference field="3" count="1" selected="0">
            <x v="1"/>
          </reference>
        </references>
      </pivotArea>
    </format>
    <format dxfId="488">
      <pivotArea collapsedLevelsAreSubtotals="1" fieldPosition="0">
        <references count="3">
          <reference field="4294967294" count="1" selected="0">
            <x v="0"/>
          </reference>
          <reference field="1" count="1">
            <x v="14"/>
          </reference>
          <reference field="3" count="1" selected="0">
            <x v="1"/>
          </reference>
        </references>
      </pivotArea>
    </format>
    <format dxfId="487">
      <pivotArea collapsedLevelsAreSubtotals="1" fieldPosition="0">
        <references count="4">
          <reference field="4294967294" count="1" selected="0">
            <x v="0"/>
          </reference>
          <reference field="1" count="1" selected="0">
            <x v="14"/>
          </reference>
          <reference field="2" count="1">
            <x v="14"/>
          </reference>
          <reference field="3" count="1" selected="0">
            <x v="1"/>
          </reference>
        </references>
      </pivotArea>
    </format>
    <format dxfId="486">
      <pivotArea collapsedLevelsAreSubtotals="1" fieldPosition="0">
        <references count="3">
          <reference field="4294967294" count="1" selected="0">
            <x v="1"/>
          </reference>
          <reference field="1" count="1">
            <x v="0"/>
          </reference>
          <reference field="3" count="1" selected="0">
            <x v="0"/>
          </reference>
        </references>
      </pivotArea>
    </format>
    <format dxfId="485">
      <pivotArea collapsedLevelsAreSubtotals="1" fieldPosition="0">
        <references count="4">
          <reference field="4294967294" count="1" selected="0">
            <x v="1"/>
          </reference>
          <reference field="1" count="1" selected="0">
            <x v="0"/>
          </reference>
          <reference field="2" count="1">
            <x v="6"/>
          </reference>
          <reference field="3" count="1" selected="0">
            <x v="0"/>
          </reference>
        </references>
      </pivotArea>
    </format>
    <format dxfId="484">
      <pivotArea collapsedLevelsAreSubtotals="1" fieldPosition="0">
        <references count="3">
          <reference field="4294967294" count="1" selected="0">
            <x v="1"/>
          </reference>
          <reference field="1" count="1">
            <x v="1"/>
          </reference>
          <reference field="3" count="1" selected="0">
            <x v="0"/>
          </reference>
        </references>
      </pivotArea>
    </format>
    <format dxfId="483">
      <pivotArea collapsedLevelsAreSubtotals="1" fieldPosition="0">
        <references count="4">
          <reference field="4294967294" count="1" selected="0">
            <x v="1"/>
          </reference>
          <reference field="1" count="1" selected="0">
            <x v="1"/>
          </reference>
          <reference field="2" count="1">
            <x v="10"/>
          </reference>
          <reference field="3" count="1" selected="0">
            <x v="0"/>
          </reference>
        </references>
      </pivotArea>
    </format>
    <format dxfId="482">
      <pivotArea collapsedLevelsAreSubtotals="1" fieldPosition="0">
        <references count="3">
          <reference field="4294967294" count="1" selected="0">
            <x v="1"/>
          </reference>
          <reference field="1" count="1">
            <x v="2"/>
          </reference>
          <reference field="3" count="1" selected="0">
            <x v="0"/>
          </reference>
        </references>
      </pivotArea>
    </format>
    <format dxfId="481">
      <pivotArea collapsedLevelsAreSubtotals="1" fieldPosition="0">
        <references count="4">
          <reference field="4294967294" count="1" selected="0">
            <x v="1"/>
          </reference>
          <reference field="1" count="1" selected="0">
            <x v="2"/>
          </reference>
          <reference field="2" count="1">
            <x v="11"/>
          </reference>
          <reference field="3" count="1" selected="0">
            <x v="0"/>
          </reference>
        </references>
      </pivotArea>
    </format>
    <format dxfId="480">
      <pivotArea collapsedLevelsAreSubtotals="1" fieldPosition="0">
        <references count="3">
          <reference field="4294967294" count="1" selected="0">
            <x v="1"/>
          </reference>
          <reference field="1" count="1">
            <x v="3"/>
          </reference>
          <reference field="3" count="1" selected="0">
            <x v="0"/>
          </reference>
        </references>
      </pivotArea>
    </format>
    <format dxfId="479">
      <pivotArea collapsedLevelsAreSubtotals="1" fieldPosition="0">
        <references count="4">
          <reference field="4294967294" count="1" selected="0">
            <x v="1"/>
          </reference>
          <reference field="1" count="1" selected="0">
            <x v="3"/>
          </reference>
          <reference field="2" count="1">
            <x v="5"/>
          </reference>
          <reference field="3" count="1" selected="0">
            <x v="0"/>
          </reference>
        </references>
      </pivotArea>
    </format>
    <format dxfId="478">
      <pivotArea collapsedLevelsAreSubtotals="1" fieldPosition="0">
        <references count="3">
          <reference field="4294967294" count="1" selected="0">
            <x v="1"/>
          </reference>
          <reference field="1" count="1">
            <x v="4"/>
          </reference>
          <reference field="3" count="1" selected="0">
            <x v="0"/>
          </reference>
        </references>
      </pivotArea>
    </format>
    <format dxfId="477">
      <pivotArea collapsedLevelsAreSubtotals="1" fieldPosition="0">
        <references count="4">
          <reference field="4294967294" count="1" selected="0">
            <x v="1"/>
          </reference>
          <reference field="1" count="1" selected="0">
            <x v="4"/>
          </reference>
          <reference field="2" count="1">
            <x v="4"/>
          </reference>
          <reference field="3" count="1" selected="0">
            <x v="0"/>
          </reference>
        </references>
      </pivotArea>
    </format>
    <format dxfId="476">
      <pivotArea collapsedLevelsAreSubtotals="1" fieldPosition="0">
        <references count="3">
          <reference field="4294967294" count="1" selected="0">
            <x v="1"/>
          </reference>
          <reference field="1" count="1">
            <x v="5"/>
          </reference>
          <reference field="3" count="1" selected="0">
            <x v="0"/>
          </reference>
        </references>
      </pivotArea>
    </format>
    <format dxfId="475">
      <pivotArea collapsedLevelsAreSubtotals="1" fieldPosition="0">
        <references count="4">
          <reference field="4294967294" count="1" selected="0">
            <x v="1"/>
          </reference>
          <reference field="1" count="1" selected="0">
            <x v="5"/>
          </reference>
          <reference field="2" count="1">
            <x v="1"/>
          </reference>
          <reference field="3" count="1" selected="0">
            <x v="0"/>
          </reference>
        </references>
      </pivotArea>
    </format>
    <format dxfId="474">
      <pivotArea collapsedLevelsAreSubtotals="1" fieldPosition="0">
        <references count="3">
          <reference field="4294967294" count="1" selected="0">
            <x v="1"/>
          </reference>
          <reference field="1" count="1">
            <x v="6"/>
          </reference>
          <reference field="3" count="1" selected="0">
            <x v="0"/>
          </reference>
        </references>
      </pivotArea>
    </format>
    <format dxfId="473">
      <pivotArea collapsedLevelsAreSubtotals="1" fieldPosition="0">
        <references count="4">
          <reference field="4294967294" count="1" selected="0">
            <x v="1"/>
          </reference>
          <reference field="1" count="1" selected="0">
            <x v="6"/>
          </reference>
          <reference field="2" count="1">
            <x v="12"/>
          </reference>
          <reference field="3" count="1" selected="0">
            <x v="0"/>
          </reference>
        </references>
      </pivotArea>
    </format>
    <format dxfId="472">
      <pivotArea collapsedLevelsAreSubtotals="1" fieldPosition="0">
        <references count="3">
          <reference field="4294967294" count="1" selected="0">
            <x v="1"/>
          </reference>
          <reference field="1" count="1">
            <x v="7"/>
          </reference>
          <reference field="3" count="1" selected="0">
            <x v="0"/>
          </reference>
        </references>
      </pivotArea>
    </format>
    <format dxfId="471">
      <pivotArea collapsedLevelsAreSubtotals="1" fieldPosition="0">
        <references count="4">
          <reference field="4294967294" count="1" selected="0">
            <x v="1"/>
          </reference>
          <reference field="1" count="1" selected="0">
            <x v="7"/>
          </reference>
          <reference field="2" count="1">
            <x v="0"/>
          </reference>
          <reference field="3" count="1" selected="0">
            <x v="0"/>
          </reference>
        </references>
      </pivotArea>
    </format>
    <format dxfId="470">
      <pivotArea collapsedLevelsAreSubtotals="1" fieldPosition="0">
        <references count="3">
          <reference field="4294967294" count="1" selected="0">
            <x v="1"/>
          </reference>
          <reference field="1" count="1">
            <x v="8"/>
          </reference>
          <reference field="3" count="1" selected="0">
            <x v="0"/>
          </reference>
        </references>
      </pivotArea>
    </format>
    <format dxfId="469">
      <pivotArea collapsedLevelsAreSubtotals="1" fieldPosition="0">
        <references count="4">
          <reference field="4294967294" count="1" selected="0">
            <x v="1"/>
          </reference>
          <reference field="1" count="1" selected="0">
            <x v="8"/>
          </reference>
          <reference field="2" count="1">
            <x v="2"/>
          </reference>
          <reference field="3" count="1" selected="0">
            <x v="0"/>
          </reference>
        </references>
      </pivotArea>
    </format>
    <format dxfId="468">
      <pivotArea collapsedLevelsAreSubtotals="1" fieldPosition="0">
        <references count="3">
          <reference field="4294967294" count="1" selected="0">
            <x v="1"/>
          </reference>
          <reference field="1" count="1">
            <x v="9"/>
          </reference>
          <reference field="3" count="1" selected="0">
            <x v="0"/>
          </reference>
        </references>
      </pivotArea>
    </format>
    <format dxfId="467">
      <pivotArea collapsedLevelsAreSubtotals="1" fieldPosition="0">
        <references count="4">
          <reference field="4294967294" count="1" selected="0">
            <x v="1"/>
          </reference>
          <reference field="1" count="1" selected="0">
            <x v="9"/>
          </reference>
          <reference field="2" count="1">
            <x v="3"/>
          </reference>
          <reference field="3" count="1" selected="0">
            <x v="0"/>
          </reference>
        </references>
      </pivotArea>
    </format>
    <format dxfId="466">
      <pivotArea collapsedLevelsAreSubtotals="1" fieldPosition="0">
        <references count="3">
          <reference field="4294967294" count="1" selected="0">
            <x v="1"/>
          </reference>
          <reference field="1" count="1">
            <x v="10"/>
          </reference>
          <reference field="3" count="1" selected="0">
            <x v="0"/>
          </reference>
        </references>
      </pivotArea>
    </format>
    <format dxfId="465">
      <pivotArea collapsedLevelsAreSubtotals="1" fieldPosition="0">
        <references count="4">
          <reference field="4294967294" count="1" selected="0">
            <x v="1"/>
          </reference>
          <reference field="1" count="1" selected="0">
            <x v="10"/>
          </reference>
          <reference field="2" count="1">
            <x v="9"/>
          </reference>
          <reference field="3" count="1" selected="0">
            <x v="0"/>
          </reference>
        </references>
      </pivotArea>
    </format>
    <format dxfId="464">
      <pivotArea collapsedLevelsAreSubtotals="1" fieldPosition="0">
        <references count="3">
          <reference field="4294967294" count="1" selected="0">
            <x v="1"/>
          </reference>
          <reference field="1" count="1">
            <x v="11"/>
          </reference>
          <reference field="3" count="1" selected="0">
            <x v="0"/>
          </reference>
        </references>
      </pivotArea>
    </format>
    <format dxfId="463">
      <pivotArea collapsedLevelsAreSubtotals="1" fieldPosition="0">
        <references count="4">
          <reference field="4294967294" count="1" selected="0">
            <x v="1"/>
          </reference>
          <reference field="1" count="1" selected="0">
            <x v="11"/>
          </reference>
          <reference field="2" count="1">
            <x v="8"/>
          </reference>
          <reference field="3" count="1" selected="0">
            <x v="0"/>
          </reference>
        </references>
      </pivotArea>
    </format>
    <format dxfId="462">
      <pivotArea collapsedLevelsAreSubtotals="1" fieldPosition="0">
        <references count="3">
          <reference field="4294967294" count="1" selected="0">
            <x v="1"/>
          </reference>
          <reference field="1" count="1">
            <x v="12"/>
          </reference>
          <reference field="3" count="1" selected="0">
            <x v="0"/>
          </reference>
        </references>
      </pivotArea>
    </format>
    <format dxfId="461">
      <pivotArea collapsedLevelsAreSubtotals="1" fieldPosition="0">
        <references count="4">
          <reference field="4294967294" count="1" selected="0">
            <x v="1"/>
          </reference>
          <reference field="1" count="1" selected="0">
            <x v="12"/>
          </reference>
          <reference field="2" count="1">
            <x v="7"/>
          </reference>
          <reference field="3" count="1" selected="0">
            <x v="0"/>
          </reference>
        </references>
      </pivotArea>
    </format>
    <format dxfId="460">
      <pivotArea collapsedLevelsAreSubtotals="1" fieldPosition="0">
        <references count="3">
          <reference field="4294967294" count="1" selected="0">
            <x v="1"/>
          </reference>
          <reference field="1" count="1">
            <x v="13"/>
          </reference>
          <reference field="3" count="1" selected="0">
            <x v="0"/>
          </reference>
        </references>
      </pivotArea>
    </format>
    <format dxfId="459">
      <pivotArea collapsedLevelsAreSubtotals="1" fieldPosition="0">
        <references count="4">
          <reference field="4294967294" count="1" selected="0">
            <x v="1"/>
          </reference>
          <reference field="1" count="1" selected="0">
            <x v="13"/>
          </reference>
          <reference field="2" count="1">
            <x v="13"/>
          </reference>
          <reference field="3" count="1" selected="0">
            <x v="0"/>
          </reference>
        </references>
      </pivotArea>
    </format>
    <format dxfId="458">
      <pivotArea collapsedLevelsAreSubtotals="1" fieldPosition="0">
        <references count="3">
          <reference field="4294967294" count="1" selected="0">
            <x v="1"/>
          </reference>
          <reference field="1" count="1">
            <x v="14"/>
          </reference>
          <reference field="3" count="1" selected="0">
            <x v="0"/>
          </reference>
        </references>
      </pivotArea>
    </format>
    <format dxfId="457">
      <pivotArea collapsedLevelsAreSubtotals="1" fieldPosition="0">
        <references count="3">
          <reference field="4294967294" count="1" selected="0">
            <x v="1"/>
          </reference>
          <reference field="1" count="1">
            <x v="0"/>
          </reference>
          <reference field="3" count="1" selected="0">
            <x v="1"/>
          </reference>
        </references>
      </pivotArea>
    </format>
    <format dxfId="456">
      <pivotArea collapsedLevelsAreSubtotals="1" fieldPosition="0">
        <references count="4">
          <reference field="4294967294" count="1" selected="0">
            <x v="1"/>
          </reference>
          <reference field="1" count="1" selected="0">
            <x v="0"/>
          </reference>
          <reference field="2" count="1">
            <x v="6"/>
          </reference>
          <reference field="3" count="1" selected="0">
            <x v="1"/>
          </reference>
        </references>
      </pivotArea>
    </format>
    <format dxfId="455">
      <pivotArea collapsedLevelsAreSubtotals="1" fieldPosition="0">
        <references count="3">
          <reference field="4294967294" count="1" selected="0">
            <x v="1"/>
          </reference>
          <reference field="1" count="1">
            <x v="1"/>
          </reference>
          <reference field="3" count="1" selected="0">
            <x v="1"/>
          </reference>
        </references>
      </pivotArea>
    </format>
    <format dxfId="454">
      <pivotArea collapsedLevelsAreSubtotals="1" fieldPosition="0">
        <references count="4">
          <reference field="4294967294" count="1" selected="0">
            <x v="1"/>
          </reference>
          <reference field="1" count="1" selected="0">
            <x v="1"/>
          </reference>
          <reference field="2" count="1">
            <x v="10"/>
          </reference>
          <reference field="3" count="1" selected="0">
            <x v="1"/>
          </reference>
        </references>
      </pivotArea>
    </format>
    <format dxfId="453">
      <pivotArea collapsedLevelsAreSubtotals="1" fieldPosition="0">
        <references count="3">
          <reference field="4294967294" count="1" selected="0">
            <x v="1"/>
          </reference>
          <reference field="1" count="1">
            <x v="2"/>
          </reference>
          <reference field="3" count="1" selected="0">
            <x v="1"/>
          </reference>
        </references>
      </pivotArea>
    </format>
    <format dxfId="452">
      <pivotArea collapsedLevelsAreSubtotals="1" fieldPosition="0">
        <references count="4">
          <reference field="4294967294" count="1" selected="0">
            <x v="1"/>
          </reference>
          <reference field="1" count="1" selected="0">
            <x v="2"/>
          </reference>
          <reference field="2" count="1">
            <x v="11"/>
          </reference>
          <reference field="3" count="1" selected="0">
            <x v="1"/>
          </reference>
        </references>
      </pivotArea>
    </format>
    <format dxfId="451">
      <pivotArea collapsedLevelsAreSubtotals="1" fieldPosition="0">
        <references count="3">
          <reference field="4294967294" count="1" selected="0">
            <x v="1"/>
          </reference>
          <reference field="1" count="1">
            <x v="3"/>
          </reference>
          <reference field="3" count="1" selected="0">
            <x v="1"/>
          </reference>
        </references>
      </pivotArea>
    </format>
    <format dxfId="450">
      <pivotArea collapsedLevelsAreSubtotals="1" fieldPosition="0">
        <references count="4">
          <reference field="4294967294" count="1" selected="0">
            <x v="1"/>
          </reference>
          <reference field="1" count="1" selected="0">
            <x v="3"/>
          </reference>
          <reference field="2" count="1">
            <x v="5"/>
          </reference>
          <reference field="3" count="1" selected="0">
            <x v="1"/>
          </reference>
        </references>
      </pivotArea>
    </format>
    <format dxfId="449">
      <pivotArea collapsedLevelsAreSubtotals="1" fieldPosition="0">
        <references count="3">
          <reference field="4294967294" count="1" selected="0">
            <x v="1"/>
          </reference>
          <reference field="1" count="1">
            <x v="4"/>
          </reference>
          <reference field="3" count="1" selected="0">
            <x v="1"/>
          </reference>
        </references>
      </pivotArea>
    </format>
    <format dxfId="448">
      <pivotArea collapsedLevelsAreSubtotals="1" fieldPosition="0">
        <references count="4">
          <reference field="4294967294" count="1" selected="0">
            <x v="1"/>
          </reference>
          <reference field="1" count="1" selected="0">
            <x v="4"/>
          </reference>
          <reference field="2" count="1">
            <x v="4"/>
          </reference>
          <reference field="3" count="1" selected="0">
            <x v="1"/>
          </reference>
        </references>
      </pivotArea>
    </format>
    <format dxfId="447">
      <pivotArea collapsedLevelsAreSubtotals="1" fieldPosition="0">
        <references count="3">
          <reference field="4294967294" count="1" selected="0">
            <x v="1"/>
          </reference>
          <reference field="1" count="1">
            <x v="5"/>
          </reference>
          <reference field="3" count="1" selected="0">
            <x v="1"/>
          </reference>
        </references>
      </pivotArea>
    </format>
    <format dxfId="446">
      <pivotArea collapsedLevelsAreSubtotals="1" fieldPosition="0">
        <references count="4">
          <reference field="4294967294" count="1" selected="0">
            <x v="1"/>
          </reference>
          <reference field="1" count="1" selected="0">
            <x v="5"/>
          </reference>
          <reference field="2" count="1">
            <x v="1"/>
          </reference>
          <reference field="3" count="1" selected="0">
            <x v="1"/>
          </reference>
        </references>
      </pivotArea>
    </format>
    <format dxfId="445">
      <pivotArea collapsedLevelsAreSubtotals="1" fieldPosition="0">
        <references count="3">
          <reference field="4294967294" count="1" selected="0">
            <x v="1"/>
          </reference>
          <reference field="1" count="1">
            <x v="6"/>
          </reference>
          <reference field="3" count="1" selected="0">
            <x v="1"/>
          </reference>
        </references>
      </pivotArea>
    </format>
    <format dxfId="444">
      <pivotArea collapsedLevelsAreSubtotals="1" fieldPosition="0">
        <references count="4">
          <reference field="4294967294" count="1" selected="0">
            <x v="1"/>
          </reference>
          <reference field="1" count="1" selected="0">
            <x v="6"/>
          </reference>
          <reference field="2" count="1">
            <x v="12"/>
          </reference>
          <reference field="3" count="1" selected="0">
            <x v="1"/>
          </reference>
        </references>
      </pivotArea>
    </format>
    <format dxfId="443">
      <pivotArea collapsedLevelsAreSubtotals="1" fieldPosition="0">
        <references count="3">
          <reference field="4294967294" count="1" selected="0">
            <x v="1"/>
          </reference>
          <reference field="1" count="1">
            <x v="7"/>
          </reference>
          <reference field="3" count="1" selected="0">
            <x v="1"/>
          </reference>
        </references>
      </pivotArea>
    </format>
    <format dxfId="442">
      <pivotArea collapsedLevelsAreSubtotals="1" fieldPosition="0">
        <references count="4">
          <reference field="4294967294" count="1" selected="0">
            <x v="1"/>
          </reference>
          <reference field="1" count="1" selected="0">
            <x v="7"/>
          </reference>
          <reference field="2" count="1">
            <x v="0"/>
          </reference>
          <reference field="3" count="1" selected="0">
            <x v="1"/>
          </reference>
        </references>
      </pivotArea>
    </format>
    <format dxfId="441">
      <pivotArea collapsedLevelsAreSubtotals="1" fieldPosition="0">
        <references count="3">
          <reference field="4294967294" count="1" selected="0">
            <x v="1"/>
          </reference>
          <reference field="1" count="1">
            <x v="8"/>
          </reference>
          <reference field="3" count="1" selected="0">
            <x v="1"/>
          </reference>
        </references>
      </pivotArea>
    </format>
    <format dxfId="440">
      <pivotArea collapsedLevelsAreSubtotals="1" fieldPosition="0">
        <references count="4">
          <reference field="4294967294" count="1" selected="0">
            <x v="1"/>
          </reference>
          <reference field="1" count="1" selected="0">
            <x v="8"/>
          </reference>
          <reference field="2" count="1">
            <x v="2"/>
          </reference>
          <reference field="3" count="1" selected="0">
            <x v="1"/>
          </reference>
        </references>
      </pivotArea>
    </format>
    <format dxfId="439">
      <pivotArea collapsedLevelsAreSubtotals="1" fieldPosition="0">
        <references count="3">
          <reference field="4294967294" count="1" selected="0">
            <x v="1"/>
          </reference>
          <reference field="1" count="1">
            <x v="9"/>
          </reference>
          <reference field="3" count="1" selected="0">
            <x v="1"/>
          </reference>
        </references>
      </pivotArea>
    </format>
    <format dxfId="438">
      <pivotArea collapsedLevelsAreSubtotals="1" fieldPosition="0">
        <references count="4">
          <reference field="4294967294" count="1" selected="0">
            <x v="1"/>
          </reference>
          <reference field="1" count="1" selected="0">
            <x v="9"/>
          </reference>
          <reference field="2" count="1">
            <x v="3"/>
          </reference>
          <reference field="3" count="1" selected="0">
            <x v="1"/>
          </reference>
        </references>
      </pivotArea>
    </format>
    <format dxfId="437">
      <pivotArea collapsedLevelsAreSubtotals="1" fieldPosition="0">
        <references count="3">
          <reference field="4294967294" count="1" selected="0">
            <x v="1"/>
          </reference>
          <reference field="1" count="1">
            <x v="10"/>
          </reference>
          <reference field="3" count="1" selected="0">
            <x v="1"/>
          </reference>
        </references>
      </pivotArea>
    </format>
    <format dxfId="436">
      <pivotArea collapsedLevelsAreSubtotals="1" fieldPosition="0">
        <references count="4">
          <reference field="4294967294" count="1" selected="0">
            <x v="1"/>
          </reference>
          <reference field="1" count="1" selected="0">
            <x v="10"/>
          </reference>
          <reference field="2" count="1">
            <x v="9"/>
          </reference>
          <reference field="3" count="1" selected="0">
            <x v="1"/>
          </reference>
        </references>
      </pivotArea>
    </format>
    <format dxfId="435">
      <pivotArea collapsedLevelsAreSubtotals="1" fieldPosition="0">
        <references count="3">
          <reference field="4294967294" count="1" selected="0">
            <x v="1"/>
          </reference>
          <reference field="1" count="1">
            <x v="11"/>
          </reference>
          <reference field="3" count="1" selected="0">
            <x v="1"/>
          </reference>
        </references>
      </pivotArea>
    </format>
    <format dxfId="434">
      <pivotArea collapsedLevelsAreSubtotals="1" fieldPosition="0">
        <references count="4">
          <reference field="4294967294" count="1" selected="0">
            <x v="1"/>
          </reference>
          <reference field="1" count="1" selected="0">
            <x v="11"/>
          </reference>
          <reference field="2" count="1">
            <x v="8"/>
          </reference>
          <reference field="3" count="1" selected="0">
            <x v="1"/>
          </reference>
        </references>
      </pivotArea>
    </format>
    <format dxfId="433">
      <pivotArea collapsedLevelsAreSubtotals="1" fieldPosition="0">
        <references count="3">
          <reference field="4294967294" count="1" selected="0">
            <x v="1"/>
          </reference>
          <reference field="1" count="1">
            <x v="12"/>
          </reference>
          <reference field="3" count="1" selected="0">
            <x v="1"/>
          </reference>
        </references>
      </pivotArea>
    </format>
    <format dxfId="432">
      <pivotArea collapsedLevelsAreSubtotals="1" fieldPosition="0">
        <references count="4">
          <reference field="4294967294" count="1" selected="0">
            <x v="1"/>
          </reference>
          <reference field="1" count="1" selected="0">
            <x v="12"/>
          </reference>
          <reference field="2" count="1">
            <x v="7"/>
          </reference>
          <reference field="3" count="1" selected="0">
            <x v="1"/>
          </reference>
        </references>
      </pivotArea>
    </format>
    <format dxfId="431">
      <pivotArea collapsedLevelsAreSubtotals="1" fieldPosition="0">
        <references count="3">
          <reference field="4294967294" count="1" selected="0">
            <x v="1"/>
          </reference>
          <reference field="1" count="1">
            <x v="13"/>
          </reference>
          <reference field="3" count="1" selected="0">
            <x v="1"/>
          </reference>
        </references>
      </pivotArea>
    </format>
    <format dxfId="430">
      <pivotArea collapsedLevelsAreSubtotals="1" fieldPosition="0">
        <references count="4">
          <reference field="4294967294" count="1" selected="0">
            <x v="1"/>
          </reference>
          <reference field="1" count="1" selected="0">
            <x v="13"/>
          </reference>
          <reference field="2" count="1">
            <x v="13"/>
          </reference>
          <reference field="3" count="1" selected="0">
            <x v="1"/>
          </reference>
        </references>
      </pivotArea>
    </format>
    <format dxfId="429">
      <pivotArea collapsedLevelsAreSubtotals="1" fieldPosition="0">
        <references count="3">
          <reference field="4294967294" count="1" selected="0">
            <x v="1"/>
          </reference>
          <reference field="1" count="1">
            <x v="14"/>
          </reference>
          <reference field="3"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FA130CA-A7F2-49E7-B145-2E54092B81FB}" name="ピボットテーブル11" cacheId="72" applyNumberFormats="0" applyBorderFormats="0" applyFontFormats="0" applyPatternFormats="0" applyAlignmentFormats="0" applyWidthHeightFormats="1" dataCaption="値" updatedVersion="6" minRefreshableVersion="3" itemPrintTitles="1" createdVersion="6" indent="0" outline="1" outlineData="1" multipleFieldFilters="0" rowHeaderCaption="物件名">
  <location ref="A24:K40" firstHeaderRow="1" firstDataRow="2" firstDataCol="1"/>
  <pivotFields count="17">
    <pivotField showAll="0"/>
    <pivotField axis="axisRow" showAll="0" sortType="descending">
      <items count="16">
        <item x="7"/>
        <item x="5"/>
        <item x="8"/>
        <item x="9"/>
        <item x="4"/>
        <item x="3"/>
        <item x="0"/>
        <item x="12"/>
        <item x="11"/>
        <item x="10"/>
        <item x="1"/>
        <item x="2"/>
        <item x="6"/>
        <item x="13"/>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axis="axisCol" showAll="0">
      <items count="11">
        <item x="0"/>
        <item x="3"/>
        <item x="2"/>
        <item x="7"/>
        <item x="5"/>
        <item x="1"/>
        <item x="4"/>
        <item x="6"/>
        <item x="8"/>
        <item h="1" x="9"/>
        <item t="default"/>
      </items>
    </pivotField>
    <pivotField showAll="0"/>
    <pivotField showAll="0"/>
    <pivotField showAll="0"/>
    <pivotField showAll="0"/>
    <pivotField dataField="1" showAll="0"/>
    <pivotField showAll="0"/>
    <pivotField showAll="0"/>
    <pivotField showAll="0"/>
    <pivotField showAll="0"/>
    <pivotField dragToRow="0" dragToCol="0" dragToPage="0" showAll="0" defaultSubtotal="0"/>
  </pivotFields>
  <rowFields count="1">
    <field x="1"/>
  </rowFields>
  <rowItems count="15">
    <i>
      <x v="6"/>
    </i>
    <i>
      <x v="12"/>
    </i>
    <i>
      <x v="10"/>
    </i>
    <i>
      <x v="1"/>
    </i>
    <i>
      <x v="4"/>
    </i>
    <i>
      <x v="11"/>
    </i>
    <i>
      <x v="5"/>
    </i>
    <i>
      <x/>
    </i>
    <i>
      <x v="9"/>
    </i>
    <i>
      <x v="8"/>
    </i>
    <i>
      <x v="3"/>
    </i>
    <i>
      <x v="7"/>
    </i>
    <i>
      <x v="2"/>
    </i>
    <i>
      <x v="13"/>
    </i>
    <i t="grand">
      <x/>
    </i>
  </rowItems>
  <colFields count="1">
    <field x="6"/>
  </colFields>
  <colItems count="10">
    <i>
      <x/>
    </i>
    <i>
      <x v="1"/>
    </i>
    <i>
      <x v="2"/>
    </i>
    <i>
      <x v="3"/>
    </i>
    <i>
      <x v="4"/>
    </i>
    <i>
      <x v="5"/>
    </i>
    <i>
      <x v="6"/>
    </i>
    <i>
      <x v="7"/>
    </i>
    <i>
      <x v="8"/>
    </i>
    <i t="grand">
      <x/>
    </i>
  </colItems>
  <dataFields count="1">
    <dataField name="合計 / 現況賃料計" fld="11" baseField="0" baseItem="0" numFmtId="5"/>
  </dataFields>
  <formats count="11">
    <format dxfId="417">
      <pivotArea outline="0" collapsedLevelsAreSubtotals="1" fieldPosition="0"/>
    </format>
    <format dxfId="416">
      <pivotArea type="all" dataOnly="0" outline="0" fieldPosition="0"/>
    </format>
    <format dxfId="415">
      <pivotArea outline="0" collapsedLevelsAreSubtotals="1" fieldPosition="0"/>
    </format>
    <format dxfId="414">
      <pivotArea type="origin" dataOnly="0" labelOnly="1" outline="0" fieldPosition="0"/>
    </format>
    <format dxfId="413">
      <pivotArea field="6" type="button" dataOnly="0" labelOnly="1" outline="0" axis="axisCol" fieldPosition="0"/>
    </format>
    <format dxfId="412">
      <pivotArea type="topRight" dataOnly="0" labelOnly="1" outline="0" fieldPosition="0"/>
    </format>
    <format dxfId="411">
      <pivotArea field="1" type="button" dataOnly="0" labelOnly="1" outline="0" axis="axisRow" fieldPosition="0"/>
    </format>
    <format dxfId="410">
      <pivotArea dataOnly="0" labelOnly="1" fieldPosition="0">
        <references count="1">
          <reference field="1" count="14">
            <x v="0"/>
            <x v="1"/>
            <x v="2"/>
            <x v="3"/>
            <x v="4"/>
            <x v="5"/>
            <x v="6"/>
            <x v="7"/>
            <x v="8"/>
            <x v="9"/>
            <x v="10"/>
            <x v="11"/>
            <x v="12"/>
            <x v="13"/>
          </reference>
        </references>
      </pivotArea>
    </format>
    <format dxfId="409">
      <pivotArea dataOnly="0" labelOnly="1" grandRow="1" outline="0" fieldPosition="0"/>
    </format>
    <format dxfId="408">
      <pivotArea dataOnly="0" labelOnly="1" fieldPosition="0">
        <references count="1">
          <reference field="6" count="0"/>
        </references>
      </pivotArea>
    </format>
    <format dxfId="40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178317A-2205-49A6-9AA8-4A355FA30B87}" name="ピボットテーブル10" cacheId="76" applyNumberFormats="0" applyBorderFormats="0" applyFontFormats="0" applyPatternFormats="0" applyAlignmentFormats="0" applyWidthHeightFormats="1" dataCaption="値" updatedVersion="6" minRefreshableVersion="3" itemPrintTitles="1" createdVersion="6" indent="0" outline="1" outlineData="1" multipleFieldFilters="0" rowHeaderCaption="物件名">
  <location ref="A4:K20" firstHeaderRow="1" firstDataRow="2" firstDataCol="1"/>
  <pivotFields count="16">
    <pivotField showAll="0"/>
    <pivotField axis="axisRow" showAll="0" sortType="descending">
      <items count="16">
        <item x="7"/>
        <item x="5"/>
        <item x="8"/>
        <item x="9"/>
        <item x="4"/>
        <item x="3"/>
        <item x="0"/>
        <item x="12"/>
        <item x="11"/>
        <item x="10"/>
        <item x="1"/>
        <item x="2"/>
        <item x="6"/>
        <item x="13"/>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axis="axisCol" showAll="0">
      <items count="11">
        <item x="0"/>
        <item x="3"/>
        <item x="2"/>
        <item x="7"/>
        <item x="5"/>
        <item x="1"/>
        <item x="4"/>
        <item h="1" x="9"/>
        <item x="6"/>
        <item x="8"/>
        <item t="default"/>
      </items>
    </pivotField>
    <pivotField showAll="0"/>
    <pivotField showAll="0"/>
    <pivotField showAll="0"/>
    <pivotField showAll="0"/>
    <pivotField showAll="0"/>
    <pivotField dataField="1" showAll="0"/>
    <pivotField showAll="0"/>
    <pivotField showAll="0"/>
    <pivotField showAll="0"/>
  </pivotFields>
  <rowFields count="1">
    <field x="1"/>
  </rowFields>
  <rowItems count="15">
    <i>
      <x v="6"/>
    </i>
    <i>
      <x/>
    </i>
    <i>
      <x v="11"/>
    </i>
    <i>
      <x v="10"/>
    </i>
    <i>
      <x v="4"/>
    </i>
    <i>
      <x v="12"/>
    </i>
    <i>
      <x v="5"/>
    </i>
    <i>
      <x v="1"/>
    </i>
    <i>
      <x v="13"/>
    </i>
    <i>
      <x v="8"/>
    </i>
    <i>
      <x v="9"/>
    </i>
    <i>
      <x v="3"/>
    </i>
    <i>
      <x v="7"/>
    </i>
    <i>
      <x v="2"/>
    </i>
    <i t="grand">
      <x/>
    </i>
  </rowItems>
  <colFields count="1">
    <field x="6"/>
  </colFields>
  <colItems count="10">
    <i>
      <x/>
    </i>
    <i>
      <x v="1"/>
    </i>
    <i>
      <x v="2"/>
    </i>
    <i>
      <x v="3"/>
    </i>
    <i>
      <x v="4"/>
    </i>
    <i>
      <x v="5"/>
    </i>
    <i>
      <x v="6"/>
    </i>
    <i>
      <x v="8"/>
    </i>
    <i>
      <x v="9"/>
    </i>
    <i t="grand">
      <x/>
    </i>
  </colItems>
  <dataFields count="1">
    <dataField name="合計 / 再募集想定額計" fld="12" baseField="0" baseItem="0" numFmtId="5"/>
  </dataFields>
  <formats count="11">
    <format dxfId="428">
      <pivotArea outline="0" collapsedLevelsAreSubtotals="1" fieldPosition="0"/>
    </format>
    <format dxfId="427">
      <pivotArea type="all" dataOnly="0" outline="0" fieldPosition="0"/>
    </format>
    <format dxfId="426">
      <pivotArea outline="0" collapsedLevelsAreSubtotals="1" fieldPosition="0"/>
    </format>
    <format dxfId="425">
      <pivotArea type="origin" dataOnly="0" labelOnly="1" outline="0" fieldPosition="0"/>
    </format>
    <format dxfId="424">
      <pivotArea field="6" type="button" dataOnly="0" labelOnly="1" outline="0" axis="axisCol" fieldPosition="0"/>
    </format>
    <format dxfId="423">
      <pivotArea type="topRight" dataOnly="0" labelOnly="1" outline="0" fieldPosition="0"/>
    </format>
    <format dxfId="422">
      <pivotArea field="1" type="button" dataOnly="0" labelOnly="1" outline="0" axis="axisRow" fieldPosition="0"/>
    </format>
    <format dxfId="421">
      <pivotArea dataOnly="0" labelOnly="1" fieldPosition="0">
        <references count="1">
          <reference field="1" count="14">
            <x v="0"/>
            <x v="1"/>
            <x v="2"/>
            <x v="3"/>
            <x v="4"/>
            <x v="5"/>
            <x v="6"/>
            <x v="7"/>
            <x v="8"/>
            <x v="9"/>
            <x v="10"/>
            <x v="11"/>
            <x v="12"/>
            <x v="13"/>
          </reference>
        </references>
      </pivotArea>
    </format>
    <format dxfId="420">
      <pivotArea dataOnly="0" labelOnly="1" grandRow="1" outline="0" fieldPosition="0"/>
    </format>
    <format dxfId="419">
      <pivotArea dataOnly="0" labelOnly="1" fieldPosition="0">
        <references count="1">
          <reference field="6" count="0"/>
        </references>
      </pivotArea>
    </format>
    <format dxfId="41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F8E7E63B-2679-45B7-8D29-930F2DB2EDF6}" name="ピボットテーブル5" cacheId="85"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物件名">
  <location ref="A3:F19" firstHeaderRow="1" firstDataRow="2" firstDataCol="1"/>
  <pivotFields count="4">
    <pivotField showAll="0"/>
    <pivotField axis="axisRow" showAll="0">
      <items count="18">
        <item x="7"/>
        <item x="5"/>
        <item x="8"/>
        <item x="9"/>
        <item x="4"/>
        <item x="3"/>
        <item x="0"/>
        <item x="12"/>
        <item x="11"/>
        <item x="10"/>
        <item m="1" x="15"/>
        <item m="1" x="16"/>
        <item x="6"/>
        <item x="13"/>
        <item x="14"/>
        <item x="1"/>
        <item x="2"/>
        <item t="default"/>
      </items>
    </pivotField>
    <pivotField axis="axisCol" showAll="0">
      <items count="7">
        <item m="1" x="5"/>
        <item x="1"/>
        <item x="0"/>
        <item x="2"/>
        <item x="3"/>
        <item h="1" x="4"/>
        <item t="default"/>
      </items>
    </pivotField>
    <pivotField dataField="1" showAll="0"/>
  </pivotFields>
  <rowFields count="1">
    <field x="1"/>
  </rowFields>
  <rowItems count="15">
    <i>
      <x/>
    </i>
    <i>
      <x v="1"/>
    </i>
    <i>
      <x v="2"/>
    </i>
    <i>
      <x v="3"/>
    </i>
    <i>
      <x v="4"/>
    </i>
    <i>
      <x v="5"/>
    </i>
    <i>
      <x v="6"/>
    </i>
    <i>
      <x v="7"/>
    </i>
    <i>
      <x v="8"/>
    </i>
    <i>
      <x v="9"/>
    </i>
    <i>
      <x v="12"/>
    </i>
    <i>
      <x v="13"/>
    </i>
    <i>
      <x v="15"/>
    </i>
    <i>
      <x v="16"/>
    </i>
    <i t="grand">
      <x/>
    </i>
  </rowItems>
  <colFields count="1">
    <field x="2"/>
  </colFields>
  <colItems count="5">
    <i>
      <x v="1"/>
    </i>
    <i>
      <x v="2"/>
    </i>
    <i>
      <x v="3"/>
    </i>
    <i>
      <x v="4"/>
    </i>
    <i t="grand">
      <x/>
    </i>
  </colItems>
  <dataFields count="1">
    <dataField name="合計 / 合計" fld="3" baseField="0" baseItem="0" numFmtId="5"/>
  </dataFields>
  <formats count="23">
    <format dxfId="370">
      <pivotArea outline="0" collapsedLevelsAreSubtotals="1" fieldPosition="0"/>
    </format>
    <format dxfId="369">
      <pivotArea type="origin" dataOnly="0" labelOnly="1" outline="0" fieldPosition="0"/>
    </format>
    <format dxfId="368">
      <pivotArea field="2" type="button" dataOnly="0" labelOnly="1" outline="0" axis="axisCol" fieldPosition="0"/>
    </format>
    <format dxfId="367">
      <pivotArea type="topRight" dataOnly="0" labelOnly="1" outline="0" fieldPosition="0"/>
    </format>
    <format dxfId="366">
      <pivotArea field="1" type="button" dataOnly="0" labelOnly="1" outline="0" axis="axisRow" fieldPosition="0"/>
    </format>
    <format dxfId="365">
      <pivotArea dataOnly="0" labelOnly="1" fieldPosition="0">
        <references count="1">
          <reference field="2" count="0"/>
        </references>
      </pivotArea>
    </format>
    <format dxfId="364">
      <pivotArea dataOnly="0" labelOnly="1" grandCol="1" outline="0" fieldPosition="0"/>
    </format>
    <format dxfId="363">
      <pivotArea type="origin" dataOnly="0" labelOnly="1" outline="0" fieldPosition="0"/>
    </format>
    <format dxfId="362">
      <pivotArea field="2" type="button" dataOnly="0" labelOnly="1" outline="0" axis="axisCol" fieldPosition="0"/>
    </format>
    <format dxfId="361">
      <pivotArea type="topRight" dataOnly="0" labelOnly="1" outline="0" fieldPosition="0"/>
    </format>
    <format dxfId="360">
      <pivotArea type="origin" dataOnly="0" labelOnly="1" outline="0" fieldPosition="0"/>
    </format>
    <format dxfId="359">
      <pivotArea field="2" type="button" dataOnly="0" labelOnly="1" outline="0" axis="axisCol" fieldPosition="0"/>
    </format>
    <format dxfId="358">
      <pivotArea type="topRight" dataOnly="0" labelOnly="1" outline="0" fieldPosition="0"/>
    </format>
    <format dxfId="357">
      <pivotArea type="all" dataOnly="0" outline="0" fieldPosition="0"/>
    </format>
    <format dxfId="356">
      <pivotArea outline="0" collapsedLevelsAreSubtotals="1" fieldPosition="0"/>
    </format>
    <format dxfId="355">
      <pivotArea type="origin" dataOnly="0" labelOnly="1" outline="0" fieldPosition="0"/>
    </format>
    <format dxfId="354">
      <pivotArea field="2" type="button" dataOnly="0" labelOnly="1" outline="0" axis="axisCol" fieldPosition="0"/>
    </format>
    <format dxfId="353">
      <pivotArea type="topRight" dataOnly="0" labelOnly="1" outline="0" fieldPosition="0"/>
    </format>
    <format dxfId="352">
      <pivotArea field="1" type="button" dataOnly="0" labelOnly="1" outline="0" axis="axisRow" fieldPosition="0"/>
    </format>
    <format dxfId="351">
      <pivotArea dataOnly="0" labelOnly="1" fieldPosition="0">
        <references count="1">
          <reference field="1" count="14">
            <x v="0"/>
            <x v="1"/>
            <x v="2"/>
            <x v="3"/>
            <x v="4"/>
            <x v="5"/>
            <x v="6"/>
            <x v="7"/>
            <x v="8"/>
            <x v="9"/>
            <x v="10"/>
            <x v="11"/>
            <x v="12"/>
            <x v="13"/>
          </reference>
        </references>
      </pivotArea>
    </format>
    <format dxfId="350">
      <pivotArea dataOnly="0" labelOnly="1" grandRow="1" outline="0" fieldPosition="0"/>
    </format>
    <format dxfId="349">
      <pivotArea dataOnly="0" labelOnly="1" fieldPosition="0">
        <references count="1">
          <reference field="2" count="0"/>
        </references>
      </pivotArea>
    </format>
    <format dxfId="34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C26A61D-C806-47C0-BAE1-D54E9C4809A5}" name="ピボットテーブル7" cacheId="63" applyNumberFormats="0" applyBorderFormats="0" applyFontFormats="0" applyPatternFormats="0" applyAlignmentFormats="0" applyWidthHeightFormats="1" dataCaption="値" updatedVersion="6" minRefreshableVersion="3" itemPrintTitles="1" createdVersion="6" indent="0" outline="1" outlineData="1" multipleFieldFilters="0">
  <location ref="G2:I33" firstHeaderRow="0" firstDataRow="1" firstDataCol="1"/>
  <pivotFields count="16">
    <pivotField axis="axisRow" showAll="0">
      <items count="16">
        <item x="0"/>
        <item x="1"/>
        <item x="2"/>
        <item x="3"/>
        <item x="4"/>
        <item x="5"/>
        <item x="6"/>
        <item x="7"/>
        <item x="8"/>
        <item x="9"/>
        <item x="10"/>
        <item x="11"/>
        <item x="12"/>
        <item x="13"/>
        <item x="14"/>
        <item t="default"/>
      </items>
    </pivotField>
    <pivotField axis="axisRow" showAll="0">
      <items count="18">
        <item x="7"/>
        <item x="5"/>
        <item x="8"/>
        <item x="9"/>
        <item x="4"/>
        <item x="3"/>
        <item x="0"/>
        <item x="12"/>
        <item x="11"/>
        <item x="10"/>
        <item m="1" x="15"/>
        <item m="1" x="16"/>
        <item x="6"/>
        <item x="13"/>
        <item x="14"/>
        <item x="1"/>
        <item x="2"/>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s>
  <rowFields count="2">
    <field x="0"/>
    <field x="1"/>
  </rowFields>
  <rowItems count="31">
    <i>
      <x/>
    </i>
    <i r="1">
      <x v="6"/>
    </i>
    <i>
      <x v="1"/>
    </i>
    <i r="1">
      <x v="15"/>
    </i>
    <i>
      <x v="2"/>
    </i>
    <i r="1">
      <x v="16"/>
    </i>
    <i>
      <x v="3"/>
    </i>
    <i r="1">
      <x v="5"/>
    </i>
    <i>
      <x v="4"/>
    </i>
    <i r="1">
      <x v="4"/>
    </i>
    <i>
      <x v="5"/>
    </i>
    <i r="1">
      <x v="1"/>
    </i>
    <i>
      <x v="6"/>
    </i>
    <i r="1">
      <x v="12"/>
    </i>
    <i>
      <x v="7"/>
    </i>
    <i r="1">
      <x/>
    </i>
    <i>
      <x v="8"/>
    </i>
    <i r="1">
      <x v="2"/>
    </i>
    <i>
      <x v="9"/>
    </i>
    <i r="1">
      <x v="3"/>
    </i>
    <i>
      <x v="10"/>
    </i>
    <i r="1">
      <x v="9"/>
    </i>
    <i>
      <x v="11"/>
    </i>
    <i r="1">
      <x v="8"/>
    </i>
    <i>
      <x v="12"/>
    </i>
    <i r="1">
      <x v="7"/>
    </i>
    <i>
      <x v="13"/>
    </i>
    <i r="1">
      <x v="13"/>
    </i>
    <i>
      <x v="14"/>
    </i>
    <i r="1">
      <x v="14"/>
    </i>
    <i t="grand">
      <x/>
    </i>
  </rowItems>
  <colFields count="1">
    <field x="-2"/>
  </colFields>
  <colItems count="2">
    <i>
      <x/>
    </i>
    <i i="1">
      <x v="1"/>
    </i>
  </colItems>
  <dataFields count="2">
    <dataField name="合計 / 現況賃料計" fld="11" baseField="0" baseItem="0"/>
    <dataField name="合計 / 再募集想定額計" fld="12" baseField="0" baseItem="0"/>
  </dataFields>
  <formats count="1">
    <format dxfId="5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AB50D82-C8E7-41D6-A91B-FDA249114AA3}" name="ピボットテーブル9" cacheId="81"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T3:AC34" firstHeaderRow="1" firstDataRow="3" firstDataCol="1"/>
  <pivotFields count="17">
    <pivotField showAll="0"/>
    <pivotField axis="axisRow" showAll="0">
      <items count="16">
        <item x="0"/>
        <item x="1"/>
        <item x="2"/>
        <item x="3"/>
        <item x="4"/>
        <item x="5"/>
        <item x="6"/>
        <item x="7"/>
        <item x="8"/>
        <item x="9"/>
        <item x="10"/>
        <item x="11"/>
        <item x="12"/>
        <item x="13"/>
        <item x="14"/>
        <item t="default"/>
      </items>
    </pivotField>
    <pivotField axis="axisRow" showAll="0">
      <items count="18">
        <item x="7"/>
        <item x="5"/>
        <item x="8"/>
        <item x="9"/>
        <item x="4"/>
        <item x="3"/>
        <item x="0"/>
        <item x="12"/>
        <item x="11"/>
        <item x="10"/>
        <item m="1" x="15"/>
        <item m="1" x="16"/>
        <item x="6"/>
        <item x="13"/>
        <item x="14"/>
        <item x="1"/>
        <item x="2"/>
        <item t="default"/>
      </items>
    </pivotField>
    <pivotField axis="axisCol" showAll="0">
      <items count="4">
        <item x="1"/>
        <item x="0"/>
        <item h="1" x="2"/>
        <item t="default"/>
      </items>
    </pivotField>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s>
  <rowFields count="2">
    <field x="1"/>
    <field x="2"/>
  </rowFields>
  <rowItems count="29">
    <i>
      <x/>
    </i>
    <i r="1">
      <x v="6"/>
    </i>
    <i>
      <x v="1"/>
    </i>
    <i r="1">
      <x v="15"/>
    </i>
    <i>
      <x v="2"/>
    </i>
    <i r="1">
      <x v="16"/>
    </i>
    <i>
      <x v="3"/>
    </i>
    <i r="1">
      <x v="5"/>
    </i>
    <i>
      <x v="4"/>
    </i>
    <i r="1">
      <x v="4"/>
    </i>
    <i>
      <x v="5"/>
    </i>
    <i r="1">
      <x v="1"/>
    </i>
    <i>
      <x v="6"/>
    </i>
    <i r="1">
      <x v="12"/>
    </i>
    <i>
      <x v="7"/>
    </i>
    <i r="1">
      <x/>
    </i>
    <i>
      <x v="8"/>
    </i>
    <i r="1">
      <x v="2"/>
    </i>
    <i>
      <x v="9"/>
    </i>
    <i r="1">
      <x v="3"/>
    </i>
    <i>
      <x v="10"/>
    </i>
    <i r="1">
      <x v="9"/>
    </i>
    <i>
      <x v="11"/>
    </i>
    <i r="1">
      <x v="8"/>
    </i>
    <i>
      <x v="12"/>
    </i>
    <i r="1">
      <x v="7"/>
    </i>
    <i>
      <x v="13"/>
    </i>
    <i r="1">
      <x v="13"/>
    </i>
    <i t="grand">
      <x/>
    </i>
  </rowItems>
  <colFields count="2">
    <field x="3"/>
    <field x="-2"/>
  </colFields>
  <colItems count="9">
    <i>
      <x/>
      <x/>
    </i>
    <i r="1" i="1">
      <x v="1"/>
    </i>
    <i r="1" i="2">
      <x v="2"/>
    </i>
    <i>
      <x v="1"/>
      <x/>
    </i>
    <i r="1" i="1">
      <x v="1"/>
    </i>
    <i r="1" i="2">
      <x v="2"/>
    </i>
    <i t="grand">
      <x/>
    </i>
    <i t="grand" i="1">
      <x/>
    </i>
    <i t="grand" i="2">
      <x/>
    </i>
  </colItems>
  <dataFields count="3">
    <dataField name="合計 / 当該資産評価額" fld="10" baseField="0" baseItem="0"/>
    <dataField name="合計 / 当期固定資産税額" fld="11" baseField="0" baseItem="0"/>
    <dataField name="合計 / 当期都市計画税額" fld="12" baseField="0" baseItem="0"/>
  </dataFields>
  <formats count="29">
    <format dxfId="576">
      <pivotArea type="all" dataOnly="0" outline="0" fieldPosition="0"/>
    </format>
    <format dxfId="575">
      <pivotArea outline="0" collapsedLevelsAreSubtotals="1" fieldPosition="0"/>
    </format>
    <format dxfId="574">
      <pivotArea field="3" type="button" dataOnly="0" labelOnly="1" outline="0" axis="axisCol" fieldPosition="0"/>
    </format>
    <format dxfId="573">
      <pivotArea field="-2" type="button" dataOnly="0" labelOnly="1" outline="0" axis="axisCol" fieldPosition="1"/>
    </format>
    <format dxfId="572">
      <pivotArea type="topRight" dataOnly="0" labelOnly="1" outline="0" fieldPosition="0"/>
    </format>
    <format dxfId="571">
      <pivotArea dataOnly="0" labelOnly="1" fieldPosition="0">
        <references count="1">
          <reference field="3" count="0"/>
        </references>
      </pivotArea>
    </format>
    <format dxfId="570">
      <pivotArea field="3" dataOnly="0" labelOnly="1" grandCol="1" outline="0" axis="axisCol" fieldPosition="0">
        <references count="1">
          <reference field="4294967294" count="1" selected="0">
            <x v="0"/>
          </reference>
        </references>
      </pivotArea>
    </format>
    <format dxfId="569">
      <pivotArea field="3" dataOnly="0" labelOnly="1" grandCol="1" outline="0" axis="axisCol" fieldPosition="0">
        <references count="1">
          <reference field="4294967294" count="1" selected="0">
            <x v="1"/>
          </reference>
        </references>
      </pivotArea>
    </format>
    <format dxfId="568">
      <pivotArea field="3" dataOnly="0" labelOnly="1" grandCol="1" outline="0" axis="axisCol" fieldPosition="0">
        <references count="1">
          <reference field="4294967294" count="1" selected="0">
            <x v="2"/>
          </reference>
        </references>
      </pivotArea>
    </format>
    <format dxfId="567">
      <pivotArea dataOnly="0" labelOnly="1" outline="0" fieldPosition="0">
        <references count="2">
          <reference field="4294967294" count="3">
            <x v="0"/>
            <x v="1"/>
            <x v="2"/>
          </reference>
          <reference field="3" count="1" selected="0">
            <x v="0"/>
          </reference>
        </references>
      </pivotArea>
    </format>
    <format dxfId="566">
      <pivotArea dataOnly="0" labelOnly="1" outline="0" fieldPosition="0">
        <references count="2">
          <reference field="4294967294" count="3">
            <x v="0"/>
            <x v="1"/>
            <x v="2"/>
          </reference>
          <reference field="3" count="1" selected="0">
            <x v="1"/>
          </reference>
        </references>
      </pivotArea>
    </format>
    <format dxfId="565">
      <pivotArea type="origin" dataOnly="0" labelOnly="1" outline="0" fieldPosition="0"/>
    </format>
    <format dxfId="564">
      <pivotArea field="1" type="button" dataOnly="0" labelOnly="1" outline="0" axis="axisRow" fieldPosition="0"/>
    </format>
    <format dxfId="563">
      <pivotArea dataOnly="0" labelOnly="1" fieldPosition="0">
        <references count="1">
          <reference field="1" count="14">
            <x v="0"/>
            <x v="1"/>
            <x v="2"/>
            <x v="3"/>
            <x v="4"/>
            <x v="5"/>
            <x v="6"/>
            <x v="7"/>
            <x v="8"/>
            <x v="9"/>
            <x v="10"/>
            <x v="11"/>
            <x v="12"/>
            <x v="13"/>
          </reference>
        </references>
      </pivotArea>
    </format>
    <format dxfId="562">
      <pivotArea dataOnly="0" labelOnly="1" grandRow="1" outline="0" fieldPosition="0"/>
    </format>
    <format dxfId="561">
      <pivotArea dataOnly="0" labelOnly="1" fieldPosition="0">
        <references count="2">
          <reference field="1" count="1" selected="0">
            <x v="0"/>
          </reference>
          <reference field="2" count="1">
            <x v="6"/>
          </reference>
        </references>
      </pivotArea>
    </format>
    <format dxfId="560">
      <pivotArea dataOnly="0" labelOnly="1" fieldPosition="0">
        <references count="2">
          <reference field="1" count="1" selected="0">
            <x v="1"/>
          </reference>
          <reference field="2" count="1">
            <x v="10"/>
          </reference>
        </references>
      </pivotArea>
    </format>
    <format dxfId="559">
      <pivotArea dataOnly="0" labelOnly="1" fieldPosition="0">
        <references count="2">
          <reference field="1" count="1" selected="0">
            <x v="2"/>
          </reference>
          <reference field="2" count="1">
            <x v="11"/>
          </reference>
        </references>
      </pivotArea>
    </format>
    <format dxfId="558">
      <pivotArea dataOnly="0" labelOnly="1" fieldPosition="0">
        <references count="2">
          <reference field="1" count="1" selected="0">
            <x v="3"/>
          </reference>
          <reference field="2" count="1">
            <x v="5"/>
          </reference>
        </references>
      </pivotArea>
    </format>
    <format dxfId="557">
      <pivotArea dataOnly="0" labelOnly="1" fieldPosition="0">
        <references count="2">
          <reference field="1" count="1" selected="0">
            <x v="4"/>
          </reference>
          <reference field="2" count="1">
            <x v="4"/>
          </reference>
        </references>
      </pivotArea>
    </format>
    <format dxfId="556">
      <pivotArea dataOnly="0" labelOnly="1" fieldPosition="0">
        <references count="2">
          <reference field="1" count="1" selected="0">
            <x v="5"/>
          </reference>
          <reference field="2" count="1">
            <x v="1"/>
          </reference>
        </references>
      </pivotArea>
    </format>
    <format dxfId="555">
      <pivotArea dataOnly="0" labelOnly="1" fieldPosition="0">
        <references count="2">
          <reference field="1" count="1" selected="0">
            <x v="6"/>
          </reference>
          <reference field="2" count="1">
            <x v="12"/>
          </reference>
        </references>
      </pivotArea>
    </format>
    <format dxfId="554">
      <pivotArea dataOnly="0" labelOnly="1" fieldPosition="0">
        <references count="2">
          <reference field="1" count="1" selected="0">
            <x v="7"/>
          </reference>
          <reference field="2" count="1">
            <x v="0"/>
          </reference>
        </references>
      </pivotArea>
    </format>
    <format dxfId="553">
      <pivotArea dataOnly="0" labelOnly="1" fieldPosition="0">
        <references count="2">
          <reference field="1" count="1" selected="0">
            <x v="8"/>
          </reference>
          <reference field="2" count="1">
            <x v="2"/>
          </reference>
        </references>
      </pivotArea>
    </format>
    <format dxfId="552">
      <pivotArea dataOnly="0" labelOnly="1" fieldPosition="0">
        <references count="2">
          <reference field="1" count="1" selected="0">
            <x v="9"/>
          </reference>
          <reference field="2" count="1">
            <x v="3"/>
          </reference>
        </references>
      </pivotArea>
    </format>
    <format dxfId="551">
      <pivotArea dataOnly="0" labelOnly="1" fieldPosition="0">
        <references count="2">
          <reference field="1" count="1" selected="0">
            <x v="10"/>
          </reference>
          <reference field="2" count="1">
            <x v="9"/>
          </reference>
        </references>
      </pivotArea>
    </format>
    <format dxfId="550">
      <pivotArea dataOnly="0" labelOnly="1" fieldPosition="0">
        <references count="2">
          <reference field="1" count="1" selected="0">
            <x v="11"/>
          </reference>
          <reference field="2" count="1">
            <x v="8"/>
          </reference>
        </references>
      </pivotArea>
    </format>
    <format dxfId="549">
      <pivotArea dataOnly="0" labelOnly="1" fieldPosition="0">
        <references count="2">
          <reference field="1" count="1" selected="0">
            <x v="12"/>
          </reference>
          <reference field="2" count="1">
            <x v="7"/>
          </reference>
        </references>
      </pivotArea>
    </format>
    <format dxfId="548">
      <pivotArea dataOnly="0" labelOnly="1" fieldPosition="0">
        <references count="2">
          <reference field="1" count="1" selected="0">
            <x v="13"/>
          </reference>
          <reference field="2" count="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BF9E1DE-3F9E-40E5-BEED-4CAB80BCA103}" name="ピボットテーブル8" cacheId="59" applyNumberFormats="0" applyBorderFormats="0" applyFontFormats="0" applyPatternFormats="0" applyAlignmentFormats="0" applyWidthHeightFormats="1" dataCaption="値" updatedVersion="6" minRefreshableVersion="3" itemPrintTitles="1" createdVersion="6" indent="0" outline="1" outlineData="1" multipleFieldFilters="0">
  <location ref="K2:R34" firstHeaderRow="1" firstDataRow="2" firstDataCol="1"/>
  <pivotFields count="16">
    <pivotField axis="axisRow" showAll="0">
      <items count="16">
        <item x="0"/>
        <item x="1"/>
        <item x="2"/>
        <item x="3"/>
        <item x="4"/>
        <item x="5"/>
        <item x="6"/>
        <item x="7"/>
        <item x="8"/>
        <item x="9"/>
        <item x="10"/>
        <item x="11"/>
        <item x="12"/>
        <item x="13"/>
        <item x="14"/>
        <item t="default"/>
      </items>
    </pivotField>
    <pivotField axis="axisRow" showAll="0">
      <items count="18">
        <item x="7"/>
        <item x="5"/>
        <item x="8"/>
        <item x="9"/>
        <item x="4"/>
        <item x="3"/>
        <item x="0"/>
        <item x="12"/>
        <item x="11"/>
        <item x="10"/>
        <item m="1" x="15"/>
        <item m="1" x="16"/>
        <item x="6"/>
        <item x="13"/>
        <item x="14"/>
        <item x="1"/>
        <item x="2"/>
        <item t="default"/>
      </items>
    </pivotField>
    <pivotField showAll="0"/>
    <pivotField showAll="0"/>
    <pivotField showAll="0"/>
    <pivotField showAll="0"/>
    <pivotField showAll="0"/>
    <pivotField axis="axisCol" dataField="1" showAll="0">
      <items count="7">
        <item x="2"/>
        <item x="3"/>
        <item x="1"/>
        <item x="0"/>
        <item x="4"/>
        <item x="5"/>
        <item t="default"/>
      </items>
    </pivotField>
    <pivotField showAll="0"/>
    <pivotField showAll="0"/>
    <pivotField showAll="0"/>
    <pivotField showAll="0"/>
    <pivotField showAll="0"/>
    <pivotField showAll="0"/>
    <pivotField showAll="0"/>
    <pivotField showAll="0"/>
  </pivotFields>
  <rowFields count="2">
    <field x="0"/>
    <field x="1"/>
  </rowFields>
  <rowItems count="31">
    <i>
      <x/>
    </i>
    <i r="1">
      <x v="6"/>
    </i>
    <i>
      <x v="1"/>
    </i>
    <i r="1">
      <x v="15"/>
    </i>
    <i>
      <x v="2"/>
    </i>
    <i r="1">
      <x v="16"/>
    </i>
    <i>
      <x v="3"/>
    </i>
    <i r="1">
      <x v="5"/>
    </i>
    <i>
      <x v="4"/>
    </i>
    <i r="1">
      <x v="4"/>
    </i>
    <i>
      <x v="5"/>
    </i>
    <i r="1">
      <x v="1"/>
    </i>
    <i>
      <x v="6"/>
    </i>
    <i r="1">
      <x v="12"/>
    </i>
    <i>
      <x v="7"/>
    </i>
    <i r="1">
      <x/>
    </i>
    <i>
      <x v="8"/>
    </i>
    <i r="1">
      <x v="2"/>
    </i>
    <i>
      <x v="9"/>
    </i>
    <i r="1">
      <x v="3"/>
    </i>
    <i>
      <x v="10"/>
    </i>
    <i r="1">
      <x v="9"/>
    </i>
    <i>
      <x v="11"/>
    </i>
    <i r="1">
      <x v="8"/>
    </i>
    <i>
      <x v="12"/>
    </i>
    <i r="1">
      <x v="7"/>
    </i>
    <i>
      <x v="13"/>
    </i>
    <i r="1">
      <x v="13"/>
    </i>
    <i>
      <x v="14"/>
    </i>
    <i r="1">
      <x v="14"/>
    </i>
    <i t="grand">
      <x/>
    </i>
  </rowItems>
  <colFields count="1">
    <field x="7"/>
  </colFields>
  <colItems count="7">
    <i>
      <x/>
    </i>
    <i>
      <x v="1"/>
    </i>
    <i>
      <x v="2"/>
    </i>
    <i>
      <x v="3"/>
    </i>
    <i>
      <x v="4"/>
    </i>
    <i>
      <x v="5"/>
    </i>
    <i t="grand">
      <x/>
    </i>
  </colItems>
  <dataFields count="1">
    <dataField name="個数 / クラス大分類"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851F8D8-C768-408A-AE2A-9EABAE545541}" name="ピボットテーブル4" cacheId="54" applyNumberFormats="0" applyBorderFormats="0" applyFontFormats="0" applyPatternFormats="0" applyAlignmentFormats="0" applyWidthHeightFormats="1" dataCaption="値" updatedVersion="6" minRefreshableVersion="3" itemPrintTitles="1" createdVersion="6" indent="0" outline="1" outlineData="1" multipleFieldFilters="0">
  <location ref="A57:B68" firstHeaderRow="1" firstDataRow="1" firstDataCol="1"/>
  <pivotFields count="25">
    <pivotField showAll="0"/>
    <pivotField showAll="0"/>
    <pivotField axis="axisRow" showAll="0" sortType="ascending">
      <items count="12">
        <item x="7"/>
        <item x="1"/>
        <item x="0"/>
        <item x="6"/>
        <item x="9"/>
        <item x="4"/>
        <item x="3"/>
        <item x="5"/>
        <item x="8"/>
        <item x="2"/>
        <item h="1"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dragToRow="0" dragToCol="0" dragToPage="0" showAll="0" defaultSubtotal="0"/>
  </pivotFields>
  <rowFields count="1">
    <field x="2"/>
  </rowFields>
  <rowItems count="11">
    <i>
      <x v="4"/>
    </i>
    <i>
      <x/>
    </i>
    <i>
      <x v="3"/>
    </i>
    <i>
      <x v="8"/>
    </i>
    <i>
      <x v="7"/>
    </i>
    <i>
      <x v="9"/>
    </i>
    <i>
      <x v="5"/>
    </i>
    <i>
      <x v="1"/>
    </i>
    <i>
      <x v="2"/>
    </i>
    <i>
      <x v="6"/>
    </i>
    <i t="grand">
      <x/>
    </i>
  </rowItems>
  <colItems count="1">
    <i/>
  </colItems>
  <dataFields count="1">
    <dataField name="加重平均金利" fld="24" baseField="0" baseItem="0" numFmtId="10"/>
  </dataFields>
  <formats count="7">
    <format dxfId="341">
      <pivotArea outline="0" collapsedLevelsAreSubtotals="1" fieldPosition="0"/>
    </format>
    <format dxfId="342">
      <pivotArea type="all" dataOnly="0" outline="0" fieldPosition="0"/>
    </format>
    <format dxfId="343">
      <pivotArea outline="0" collapsedLevelsAreSubtotals="1" fieldPosition="0"/>
    </format>
    <format dxfId="344">
      <pivotArea field="2" type="button" dataOnly="0" labelOnly="1" outline="0" axis="axisRow" fieldPosition="0"/>
    </format>
    <format dxfId="345">
      <pivotArea dataOnly="0" labelOnly="1" fieldPosition="0">
        <references count="1">
          <reference field="2" count="0"/>
        </references>
      </pivotArea>
    </format>
    <format dxfId="346">
      <pivotArea dataOnly="0" labelOnly="1" grandRow="1" outline="0" fieldPosition="0"/>
    </format>
    <format dxfId="34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33E7E28-B34C-47F4-800B-9FA5D6A3EE25}" name="ピボットテーブル3" cacheId="54" applyNumberFormats="0" applyBorderFormats="0" applyFontFormats="0" applyPatternFormats="0" applyAlignmentFormats="0" applyWidthHeightFormats="1" dataCaption="値" updatedVersion="6" minRefreshableVersion="3" itemPrintTitles="1" createdVersion="6" indent="0" outline="1" outlineData="1" multipleFieldFilters="0" rowHeaderCaption="物件名">
  <location ref="A31:F54" firstHeaderRow="0" firstDataRow="1" firstDataCol="1"/>
  <pivotFields count="25">
    <pivotField showAll="0"/>
    <pivotField showAll="0"/>
    <pivotField showAll="0"/>
    <pivotField showAll="0"/>
    <pivotField showAll="0"/>
    <pivotField showAll="0"/>
    <pivotField showAll="0"/>
    <pivotField axis="axisRow" showAll="0">
      <items count="20">
        <item x="7"/>
        <item x="5"/>
        <item x="8"/>
        <item x="9"/>
        <item x="4"/>
        <item x="3"/>
        <item x="0"/>
        <item x="12"/>
        <item x="11"/>
        <item x="10"/>
        <item m="1" x="17"/>
        <item m="1" x="18"/>
        <item x="6"/>
        <item x="13"/>
        <item h="1" m="1" x="16"/>
        <item h="1" x="15"/>
        <item x="14"/>
        <item x="1"/>
        <item x="2"/>
        <item t="default"/>
      </items>
    </pivotField>
    <pivotField showAll="0"/>
    <pivotField axis="axisRow" showAll="0" defaultSubtotal="0">
      <items count="8">
        <item x="0"/>
        <item x="3"/>
        <item x="1"/>
        <item x="5"/>
        <item x="2"/>
        <item x="4"/>
        <item x="6"/>
        <item x="7"/>
      </items>
    </pivotField>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dataField="1" dragToRow="0" dragToCol="0" dragToPage="0" showAll="0" defaultSubtotal="0"/>
  </pivotFields>
  <rowFields count="2">
    <field x="9"/>
    <field x="7"/>
  </rowFields>
  <rowItems count="23">
    <i>
      <x/>
    </i>
    <i r="1">
      <x v="6"/>
    </i>
    <i r="1">
      <x v="9"/>
    </i>
    <i r="1">
      <x v="16"/>
    </i>
    <i>
      <x v="1"/>
    </i>
    <i r="1">
      <x v="5"/>
    </i>
    <i>
      <x v="2"/>
    </i>
    <i r="1">
      <x v="4"/>
    </i>
    <i r="1">
      <x v="8"/>
    </i>
    <i r="1">
      <x v="17"/>
    </i>
    <i>
      <x v="3"/>
    </i>
    <i r="1">
      <x/>
    </i>
    <i>
      <x v="4"/>
    </i>
    <i r="1">
      <x v="1"/>
    </i>
    <i r="1">
      <x v="7"/>
    </i>
    <i r="1">
      <x v="18"/>
    </i>
    <i>
      <x v="5"/>
    </i>
    <i r="1">
      <x v="12"/>
    </i>
    <i>
      <x v="6"/>
    </i>
    <i r="1">
      <x v="2"/>
    </i>
    <i r="1">
      <x v="3"/>
    </i>
    <i r="1">
      <x v="13"/>
    </i>
    <i t="grand">
      <x/>
    </i>
  </rowItems>
  <colFields count="1">
    <field x="-2"/>
  </colFields>
  <colItems count="5">
    <i>
      <x/>
    </i>
    <i i="1">
      <x v="1"/>
    </i>
    <i i="2">
      <x v="2"/>
    </i>
    <i i="3">
      <x v="3"/>
    </i>
    <i i="4">
      <x v="4"/>
    </i>
  </colItems>
  <dataFields count="5">
    <dataField name="1元金返済月額" fld="16" baseField="0" baseItem="0" numFmtId="5"/>
    <dataField name="2利息月額" fld="17" baseField="0" baseItem="0" numFmtId="5"/>
    <dataField name="3支払月額" fld="18" baseField="0" baseItem="0" numFmtId="5"/>
    <dataField name="4平均金利" fld="24" baseField="0" baseItem="0" numFmtId="10"/>
    <dataField name="5残債" fld="19" baseField="0" baseItem="0" numFmtId="5"/>
  </dataFields>
  <formats count="15">
    <format dxfId="326">
      <pivotArea outline="0" collapsedLevelsAreSubtotals="1" fieldPosition="0">
        <references count="1">
          <reference field="4294967294" count="4" selected="0">
            <x v="0"/>
            <x v="1"/>
            <x v="2"/>
            <x v="4"/>
          </reference>
        </references>
      </pivotArea>
    </format>
    <format dxfId="327">
      <pivotArea outline="0" collapsedLevelsAreSubtotals="1" fieldPosition="0">
        <references count="1">
          <reference field="4294967294" count="1" selected="0">
            <x v="3"/>
          </reference>
        </references>
      </pivotArea>
    </format>
    <format dxfId="328">
      <pivotArea type="all" dataOnly="0" outline="0" fieldPosition="0"/>
    </format>
    <format dxfId="329">
      <pivotArea outline="0" collapsedLevelsAreSubtotals="1" fieldPosition="0"/>
    </format>
    <format dxfId="330">
      <pivotArea field="9" type="button" dataOnly="0" labelOnly="1" outline="0" axis="axisRow" fieldPosition="0"/>
    </format>
    <format dxfId="331">
      <pivotArea dataOnly="0" labelOnly="1" fieldPosition="0">
        <references count="1">
          <reference field="9" count="7">
            <x v="0"/>
            <x v="1"/>
            <x v="2"/>
            <x v="3"/>
            <x v="4"/>
            <x v="5"/>
            <x v="6"/>
          </reference>
        </references>
      </pivotArea>
    </format>
    <format dxfId="332">
      <pivotArea dataOnly="0" labelOnly="1" grandRow="1" outline="0" fieldPosition="0"/>
    </format>
    <format dxfId="333">
      <pivotArea dataOnly="0" labelOnly="1" fieldPosition="0">
        <references count="2">
          <reference field="7" count="3">
            <x v="6"/>
            <x v="9"/>
            <x v="16"/>
          </reference>
          <reference field="9" count="1" selected="0">
            <x v="0"/>
          </reference>
        </references>
      </pivotArea>
    </format>
    <format dxfId="334">
      <pivotArea dataOnly="0" labelOnly="1" fieldPosition="0">
        <references count="2">
          <reference field="7" count="1">
            <x v="5"/>
          </reference>
          <reference field="9" count="1" selected="0">
            <x v="1"/>
          </reference>
        </references>
      </pivotArea>
    </format>
    <format dxfId="335">
      <pivotArea dataOnly="0" labelOnly="1" fieldPosition="0">
        <references count="2">
          <reference field="7" count="3">
            <x v="4"/>
            <x v="8"/>
            <x v="10"/>
          </reference>
          <reference field="9" count="1" selected="0">
            <x v="2"/>
          </reference>
        </references>
      </pivotArea>
    </format>
    <format dxfId="336">
      <pivotArea dataOnly="0" labelOnly="1" fieldPosition="0">
        <references count="2">
          <reference field="7" count="1">
            <x v="0"/>
          </reference>
          <reference field="9" count="1" selected="0">
            <x v="3"/>
          </reference>
        </references>
      </pivotArea>
    </format>
    <format dxfId="337">
      <pivotArea dataOnly="0" labelOnly="1" fieldPosition="0">
        <references count="2">
          <reference field="7" count="3">
            <x v="1"/>
            <x v="7"/>
            <x v="11"/>
          </reference>
          <reference field="9" count="1" selected="0">
            <x v="4"/>
          </reference>
        </references>
      </pivotArea>
    </format>
    <format dxfId="338">
      <pivotArea dataOnly="0" labelOnly="1" fieldPosition="0">
        <references count="2">
          <reference field="7" count="1">
            <x v="12"/>
          </reference>
          <reference field="9" count="1" selected="0">
            <x v="5"/>
          </reference>
        </references>
      </pivotArea>
    </format>
    <format dxfId="339">
      <pivotArea dataOnly="0" labelOnly="1" fieldPosition="0">
        <references count="2">
          <reference field="7" count="3">
            <x v="2"/>
            <x v="3"/>
            <x v="13"/>
          </reference>
          <reference field="9" count="1" selected="0">
            <x v="6"/>
          </reference>
        </references>
      </pivotArea>
    </format>
    <format dxfId="34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D9F47AC-A5D4-4E57-96EC-EAF4CCEE6F53}" name="ピボットテーブル2" cacheId="54" applyNumberFormats="0" applyBorderFormats="0" applyFontFormats="0" applyPatternFormats="0" applyAlignmentFormats="0" applyWidthHeightFormats="1" dataCaption="値" updatedVersion="6" minRefreshableVersion="3" itemPrintTitles="1" createdVersion="6" indent="0" outline="1" outlineData="1" multipleFieldFilters="0" rowHeaderCaption="借入主体" colHeaderCaption="借入種類">
  <location ref="A19:F28" firstHeaderRow="1" firstDataRow="2" firstDataCol="1"/>
  <pivotFields count="25">
    <pivotField showAll="0"/>
    <pivotField showAll="0"/>
    <pivotField showAll="0"/>
    <pivotField showAll="0"/>
    <pivotField showAll="0"/>
    <pivotField axis="axisCol" showAll="0">
      <items count="7">
        <item x="0"/>
        <item x="2"/>
        <item x="1"/>
        <item m="1" x="5"/>
        <item x="3"/>
        <item h="1" x="4"/>
        <item t="default"/>
      </items>
    </pivotField>
    <pivotField showAll="0"/>
    <pivotField showAll="0"/>
    <pivotField showAll="0"/>
    <pivotField axis="axisRow" showAll="0" sortType="descending">
      <items count="9">
        <item x="0"/>
        <item x="3"/>
        <item x="1"/>
        <item x="5"/>
        <item x="2"/>
        <item x="4"/>
        <item x="6"/>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dragToRow="0" dragToCol="0" dragToPage="0" showAll="0" defaultSubtotal="0"/>
  </pivotFields>
  <rowFields count="1">
    <field x="9"/>
  </rowFields>
  <rowItems count="8">
    <i>
      <x v="4"/>
    </i>
    <i>
      <x v="2"/>
    </i>
    <i>
      <x/>
    </i>
    <i>
      <x v="3"/>
    </i>
    <i>
      <x v="1"/>
    </i>
    <i>
      <x v="5"/>
    </i>
    <i>
      <x v="6"/>
    </i>
    <i t="grand">
      <x/>
    </i>
  </rowItems>
  <colFields count="1">
    <field x="5"/>
  </colFields>
  <colItems count="5">
    <i>
      <x/>
    </i>
    <i>
      <x v="1"/>
    </i>
    <i>
      <x v="2"/>
    </i>
    <i>
      <x v="4"/>
    </i>
    <i t="grand">
      <x/>
    </i>
  </colItems>
  <dataFields count="1">
    <dataField name="合計 / 残債" fld="19" baseField="0" baseItem="0" numFmtId="5"/>
  </dataFields>
  <formats count="11">
    <format dxfId="315">
      <pivotArea outline="0" collapsedLevelsAreSubtotals="1" fieldPosition="0"/>
    </format>
    <format dxfId="316">
      <pivotArea type="all" dataOnly="0" outline="0" fieldPosition="0"/>
    </format>
    <format dxfId="317">
      <pivotArea outline="0" collapsedLevelsAreSubtotals="1" fieldPosition="0"/>
    </format>
    <format dxfId="318">
      <pivotArea type="origin" dataOnly="0" labelOnly="1" outline="0" fieldPosition="0"/>
    </format>
    <format dxfId="319">
      <pivotArea field="5" type="button" dataOnly="0" labelOnly="1" outline="0" axis="axisCol" fieldPosition="0"/>
    </format>
    <format dxfId="320">
      <pivotArea type="topRight" dataOnly="0" labelOnly="1" outline="0" fieldPosition="0"/>
    </format>
    <format dxfId="321">
      <pivotArea field="9" type="button" dataOnly="0" labelOnly="1" outline="0" axis="axisRow" fieldPosition="0"/>
    </format>
    <format dxfId="322">
      <pivotArea dataOnly="0" labelOnly="1" fieldPosition="0">
        <references count="1">
          <reference field="9" count="7">
            <x v="0"/>
            <x v="1"/>
            <x v="2"/>
            <x v="3"/>
            <x v="4"/>
            <x v="5"/>
            <x v="6"/>
          </reference>
        </references>
      </pivotArea>
    </format>
    <format dxfId="323">
      <pivotArea dataOnly="0" labelOnly="1" grandRow="1" outline="0" fieldPosition="0"/>
    </format>
    <format dxfId="324">
      <pivotArea dataOnly="0" labelOnly="1" fieldPosition="0">
        <references count="1">
          <reference field="5" count="0"/>
        </references>
      </pivotArea>
    </format>
    <format dxfId="32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7ABBE986-A2DB-4C5E-8DDA-C4FFD4862D03}" name="ピボットテーブル1" cacheId="54" applyNumberFormats="0" applyBorderFormats="0" applyFontFormats="0" applyPatternFormats="0" applyAlignmentFormats="0" applyWidthHeightFormats="1" dataCaption="値" grandTotalCaption="残債" updatedVersion="6" minRefreshableVersion="3" itemPrintTitles="1" createdVersion="6" indent="0" outline="1" outlineData="1" multipleFieldFilters="0" rowHeaderCaption="金融機関名" colHeaderCaption="借入種類">
  <location ref="A4:F16" firstHeaderRow="1" firstDataRow="2" firstDataCol="1"/>
  <pivotFields count="25">
    <pivotField showAll="0"/>
    <pivotField showAll="0"/>
    <pivotField axis="axisRow" showAll="0" sortType="descending">
      <items count="12">
        <item x="7"/>
        <item x="1"/>
        <item x="0"/>
        <item x="6"/>
        <item x="9"/>
        <item x="4"/>
        <item x="3"/>
        <item x="5"/>
        <item x="8"/>
        <item x="2"/>
        <item x="10"/>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7">
        <item h="1" m="1" x="5"/>
        <item x="0"/>
        <item x="2"/>
        <item x="1"/>
        <item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dragToRow="0" dragToCol="0" dragToPage="0" showAll="0" defaultSubtotal="0"/>
  </pivotFields>
  <rowFields count="1">
    <field x="2"/>
  </rowFields>
  <rowItems count="11">
    <i>
      <x v="2"/>
    </i>
    <i>
      <x v="6"/>
    </i>
    <i>
      <x v="9"/>
    </i>
    <i>
      <x v="5"/>
    </i>
    <i>
      <x v="1"/>
    </i>
    <i>
      <x v="7"/>
    </i>
    <i>
      <x v="8"/>
    </i>
    <i>
      <x v="3"/>
    </i>
    <i>
      <x/>
    </i>
    <i>
      <x v="4"/>
    </i>
    <i t="grand">
      <x/>
    </i>
  </rowItems>
  <colFields count="1">
    <field x="5"/>
  </colFields>
  <colItems count="5">
    <i>
      <x v="1"/>
    </i>
    <i>
      <x v="2"/>
    </i>
    <i>
      <x v="3"/>
    </i>
    <i>
      <x v="4"/>
    </i>
    <i t="grand">
      <x/>
    </i>
  </colItems>
  <dataFields count="1">
    <dataField name="合計 / 残債" fld="19" baseField="0" baseItem="0" numFmtId="5"/>
  </dataFields>
  <formats count="11">
    <format dxfId="304">
      <pivotArea outline="0" collapsedLevelsAreSubtotals="1" fieldPosition="0"/>
    </format>
    <format dxfId="305">
      <pivotArea type="all" dataOnly="0" outline="0" fieldPosition="0"/>
    </format>
    <format dxfId="306">
      <pivotArea outline="0" collapsedLevelsAreSubtotals="1" fieldPosition="0"/>
    </format>
    <format dxfId="307">
      <pivotArea type="origin" dataOnly="0" labelOnly="1" outline="0" fieldPosition="0"/>
    </format>
    <format dxfId="308">
      <pivotArea field="5" type="button" dataOnly="0" labelOnly="1" outline="0" axis="axisCol" fieldPosition="0"/>
    </format>
    <format dxfId="309">
      <pivotArea type="topRight" dataOnly="0" labelOnly="1" outline="0" fieldPosition="0"/>
    </format>
    <format dxfId="310">
      <pivotArea field="2" type="button" dataOnly="0" labelOnly="1" outline="0" axis="axisRow" fieldPosition="0"/>
    </format>
    <format dxfId="311">
      <pivotArea dataOnly="0" labelOnly="1" fieldPosition="0">
        <references count="1">
          <reference field="2" count="10">
            <x v="0"/>
            <x v="1"/>
            <x v="2"/>
            <x v="3"/>
            <x v="4"/>
            <x v="5"/>
            <x v="6"/>
            <x v="7"/>
            <x v="8"/>
            <x v="9"/>
          </reference>
        </references>
      </pivotArea>
    </format>
    <format dxfId="312">
      <pivotArea dataOnly="0" labelOnly="1" grandRow="1" outline="0" fieldPosition="0"/>
    </format>
    <format dxfId="313">
      <pivotArea dataOnly="0" labelOnly="1" fieldPosition="0">
        <references count="1">
          <reference field="5" count="0"/>
        </references>
      </pivotArea>
    </format>
    <format dxfId="31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8379639E-E232-413B-A5A2-35B89B326089}" name="ピボットテーブル12" cacheId="72"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rowHeaderCaption="物件名">
  <location ref="A44:B59" firstHeaderRow="1" firstDataRow="1" firstDataCol="1"/>
  <pivotFields count="17">
    <pivotField showAll="0"/>
    <pivotField axis="axisRow" showAll="0" sortType="descending">
      <items count="16">
        <item x="7"/>
        <item x="5"/>
        <item x="8"/>
        <item x="9"/>
        <item x="4"/>
        <item x="3"/>
        <item x="0"/>
        <item x="12"/>
        <item x="11"/>
        <item x="10"/>
        <item x="1"/>
        <item x="2"/>
        <item x="6"/>
        <item x="13"/>
        <item h="1"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dragToRow="0" dragToCol="0" dragToPage="0" showAll="0" defaultSubtotal="0"/>
  </pivotFields>
  <rowFields count="1">
    <field x="1"/>
  </rowFields>
  <rowItems count="15">
    <i>
      <x v="7"/>
    </i>
    <i>
      <x v="9"/>
    </i>
    <i>
      <x v="8"/>
    </i>
    <i>
      <x v="2"/>
    </i>
    <i>
      <x v="3"/>
    </i>
    <i>
      <x v="6"/>
    </i>
    <i>
      <x/>
    </i>
    <i>
      <x v="11"/>
    </i>
    <i>
      <x v="10"/>
    </i>
    <i>
      <x v="1"/>
    </i>
    <i>
      <x v="12"/>
    </i>
    <i>
      <x v="4"/>
    </i>
    <i>
      <x v="5"/>
    </i>
    <i>
      <x v="13"/>
    </i>
    <i t="grand">
      <x/>
    </i>
  </rowItems>
  <colItems count="1">
    <i/>
  </colItems>
  <dataFields count="1">
    <dataField name="入居率" fld="16" baseField="0" baseItem="0"/>
  </dataFields>
  <formats count="8">
    <format dxfId="406">
      <pivotArea collapsedLevelsAreSubtotals="1" fieldPosition="0">
        <references count="1">
          <reference field="1" count="0"/>
        </references>
      </pivotArea>
    </format>
    <format dxfId="405">
      <pivotArea grandRow="1" outline="0" collapsedLevelsAreSubtotals="1" fieldPosition="0"/>
    </format>
    <format dxfId="404">
      <pivotArea type="all" dataOnly="0" outline="0" fieldPosition="0"/>
    </format>
    <format dxfId="403">
      <pivotArea outline="0" collapsedLevelsAreSubtotals="1" fieldPosition="0"/>
    </format>
    <format dxfId="402">
      <pivotArea field="1" type="button" dataOnly="0" labelOnly="1" outline="0" axis="axisRow" fieldPosition="0"/>
    </format>
    <format dxfId="401">
      <pivotArea dataOnly="0" labelOnly="1" fieldPosition="0">
        <references count="1">
          <reference field="1" count="0"/>
        </references>
      </pivotArea>
    </format>
    <format dxfId="400">
      <pivotArea dataOnly="0" labelOnly="1" grandRow="1" outline="0" fieldPosition="0"/>
    </format>
    <format dxfId="39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printerSettings" Target="../printerSettings/printerSettings4.bin"/><Relationship Id="rId4" Type="http://schemas.openxmlformats.org/officeDocument/2006/relationships/pivotTable" Target="../pivotTables/pivotTable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19816-0E30-4AD4-8BC1-D46BFCDBC50A}">
  <sheetPr>
    <pageSetUpPr fitToPage="1"/>
  </sheetPr>
  <dimension ref="A1:BS174"/>
  <sheetViews>
    <sheetView workbookViewId="0">
      <pane xSplit="2" ySplit="1" topLeftCell="C2" activePane="bottomRight" state="frozen"/>
      <selection pane="topRight" activeCell="C1" sqref="C1"/>
      <selection pane="bottomLeft" activeCell="A2" sqref="A2"/>
      <selection pane="bottomRight"/>
    </sheetView>
  </sheetViews>
  <sheetFormatPr defaultRowHeight="18.75" x14ac:dyDescent="0.4"/>
  <cols>
    <col min="1" max="1" width="11.5" customWidth="1"/>
    <col min="2" max="2" width="27.625" customWidth="1"/>
    <col min="3" max="3" width="41.5" customWidth="1"/>
    <col min="5" max="5" width="24.75" customWidth="1"/>
    <col min="6" max="6" width="21.375" customWidth="1"/>
    <col min="7" max="7" width="15.625" customWidth="1"/>
    <col min="8" max="8" width="10.5" customWidth="1"/>
    <col min="9" max="9" width="25.375" customWidth="1"/>
    <col min="10" max="10" width="17.125" customWidth="1"/>
    <col min="11" max="11" width="13.5" customWidth="1"/>
    <col min="12" max="12" width="13.75" customWidth="1"/>
    <col min="13" max="13" width="19.125" customWidth="1"/>
    <col min="14" max="14" width="13.5" bestFit="1" customWidth="1"/>
    <col min="15" max="15" width="16.125" customWidth="1"/>
    <col min="16" max="16" width="15.125" customWidth="1"/>
    <col min="17" max="17" width="23.875" customWidth="1"/>
    <col min="18" max="18" width="20" customWidth="1"/>
    <col min="19" max="19" width="15.875" customWidth="1"/>
    <col min="20" max="23" width="17.875" customWidth="1"/>
    <col min="24" max="24" width="16.5" customWidth="1"/>
    <col min="25" max="46" width="17.875" customWidth="1"/>
    <col min="68" max="68" width="7.375" bestFit="1" customWidth="1"/>
    <col min="69" max="69" width="8.5" bestFit="1" customWidth="1"/>
    <col min="70" max="70" width="7" bestFit="1" customWidth="1"/>
    <col min="71" max="71" width="5.5" bestFit="1" customWidth="1"/>
  </cols>
  <sheetData>
    <row r="1" spans="1:71" x14ac:dyDescent="0.4">
      <c r="E1" s="10">
        <v>5</v>
      </c>
      <c r="F1" s="10">
        <v>6</v>
      </c>
      <c r="G1" s="10">
        <v>7</v>
      </c>
      <c r="H1" s="10">
        <v>8</v>
      </c>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23</v>
      </c>
      <c r="AB1" s="10">
        <v>24</v>
      </c>
      <c r="AC1" s="10">
        <v>25</v>
      </c>
      <c r="AD1" s="10">
        <v>26</v>
      </c>
      <c r="AE1" s="10">
        <v>27</v>
      </c>
      <c r="AF1" s="10">
        <v>28</v>
      </c>
      <c r="AG1" s="10">
        <v>29</v>
      </c>
      <c r="AH1" s="10">
        <v>30</v>
      </c>
      <c r="AI1" s="10">
        <v>31</v>
      </c>
      <c r="AJ1" s="10">
        <v>32</v>
      </c>
      <c r="AK1" s="10">
        <v>33</v>
      </c>
      <c r="AL1" s="10">
        <v>34</v>
      </c>
      <c r="AM1" s="10">
        <v>35</v>
      </c>
      <c r="AN1" s="10">
        <v>36</v>
      </c>
      <c r="AO1" s="10">
        <v>37</v>
      </c>
      <c r="AP1" s="10">
        <v>38</v>
      </c>
      <c r="AQ1" s="10">
        <v>39</v>
      </c>
      <c r="AR1" s="10">
        <v>40</v>
      </c>
      <c r="AS1" s="10">
        <v>41</v>
      </c>
      <c r="AT1" s="10">
        <v>42</v>
      </c>
      <c r="AU1" s="10">
        <v>43</v>
      </c>
      <c r="AV1" s="10">
        <v>44</v>
      </c>
      <c r="AW1" s="10">
        <v>45</v>
      </c>
      <c r="AX1" s="10">
        <v>46</v>
      </c>
      <c r="AY1" s="10">
        <v>47</v>
      </c>
      <c r="AZ1" s="10">
        <v>48</v>
      </c>
      <c r="BA1" s="10">
        <v>49</v>
      </c>
      <c r="BB1" s="10">
        <v>50</v>
      </c>
      <c r="BC1" s="10">
        <v>51</v>
      </c>
      <c r="BD1" s="10">
        <v>52</v>
      </c>
      <c r="BE1" s="10">
        <v>53</v>
      </c>
      <c r="BF1" s="10">
        <v>54</v>
      </c>
      <c r="BG1" s="10">
        <v>55</v>
      </c>
      <c r="BH1" s="10">
        <v>56</v>
      </c>
      <c r="BI1" s="10">
        <v>57</v>
      </c>
      <c r="BJ1" s="10">
        <v>58</v>
      </c>
      <c r="BK1" s="10">
        <v>59</v>
      </c>
      <c r="BL1" s="10">
        <v>60</v>
      </c>
      <c r="BM1" s="10">
        <v>61</v>
      </c>
      <c r="BN1" s="10">
        <v>62</v>
      </c>
      <c r="BO1" s="10">
        <v>63</v>
      </c>
      <c r="BP1" s="10">
        <v>64</v>
      </c>
      <c r="BQ1" s="10">
        <v>65</v>
      </c>
      <c r="BR1" s="10">
        <v>66</v>
      </c>
      <c r="BS1" s="10">
        <v>67</v>
      </c>
    </row>
    <row r="2" spans="1:71" s="29" customFormat="1" ht="17.25" customHeight="1" x14ac:dyDescent="0.4">
      <c r="A2" s="26" t="s">
        <v>249</v>
      </c>
      <c r="B2" s="26" t="s">
        <v>13</v>
      </c>
      <c r="C2" s="26" t="s">
        <v>248</v>
      </c>
      <c r="D2" s="26"/>
      <c r="E2" s="2" t="s">
        <v>268</v>
      </c>
      <c r="F2" s="2" t="s">
        <v>269</v>
      </c>
      <c r="G2" s="2" t="s">
        <v>270</v>
      </c>
      <c r="H2" s="2" t="s">
        <v>271</v>
      </c>
      <c r="I2" s="2" t="s">
        <v>238</v>
      </c>
      <c r="J2" s="2" t="s">
        <v>272</v>
      </c>
      <c r="K2" s="2" t="s">
        <v>273</v>
      </c>
      <c r="L2" s="2" t="s">
        <v>274</v>
      </c>
      <c r="M2" s="5" t="s">
        <v>233</v>
      </c>
      <c r="N2" s="2" t="s">
        <v>275</v>
      </c>
      <c r="O2" s="2" t="s">
        <v>325</v>
      </c>
      <c r="P2" s="27" t="s">
        <v>234</v>
      </c>
      <c r="Q2" s="3" t="s">
        <v>276</v>
      </c>
      <c r="R2" s="3" t="s">
        <v>277</v>
      </c>
      <c r="S2" s="3" t="s">
        <v>278</v>
      </c>
      <c r="T2" s="3" t="s">
        <v>279</v>
      </c>
      <c r="U2" s="4" t="s">
        <v>181</v>
      </c>
      <c r="V2" s="45" t="s">
        <v>187</v>
      </c>
      <c r="W2" s="48" t="s">
        <v>532</v>
      </c>
      <c r="X2" s="48" t="s">
        <v>533</v>
      </c>
      <c r="Y2" s="48" t="s">
        <v>157</v>
      </c>
      <c r="Z2" s="48" t="s">
        <v>158</v>
      </c>
      <c r="AA2" s="28" t="s">
        <v>500</v>
      </c>
      <c r="AB2" s="28" t="s">
        <v>501</v>
      </c>
      <c r="AC2" s="28" t="s">
        <v>502</v>
      </c>
      <c r="AD2" s="28" t="s">
        <v>503</v>
      </c>
      <c r="AE2" s="28" t="s">
        <v>504</v>
      </c>
      <c r="AF2" s="28" t="s">
        <v>505</v>
      </c>
      <c r="AG2" s="28" t="s">
        <v>506</v>
      </c>
      <c r="AH2" s="28" t="s">
        <v>515</v>
      </c>
      <c r="AI2" s="28" t="s">
        <v>514</v>
      </c>
      <c r="AJ2" s="28" t="s">
        <v>507</v>
      </c>
      <c r="AK2" s="28" t="s">
        <v>508</v>
      </c>
      <c r="AL2" s="28" t="s">
        <v>509</v>
      </c>
      <c r="AM2" s="28" t="s">
        <v>510</v>
      </c>
      <c r="AN2" s="28" t="s">
        <v>511</v>
      </c>
      <c r="AO2" s="28" t="s">
        <v>512</v>
      </c>
      <c r="AP2" s="28" t="s">
        <v>513</v>
      </c>
      <c r="AQ2" s="28" t="s">
        <v>528</v>
      </c>
      <c r="AR2" s="28" t="s">
        <v>529</v>
      </c>
      <c r="AS2" s="28" t="s">
        <v>530</v>
      </c>
      <c r="AT2" s="28" t="s">
        <v>531</v>
      </c>
      <c r="AU2"/>
    </row>
    <row r="3" spans="1:71" s="29" customFormat="1" ht="17.25" customHeight="1" x14ac:dyDescent="0.4">
      <c r="A3" s="30">
        <v>201</v>
      </c>
      <c r="B3" s="29" t="s">
        <v>15</v>
      </c>
      <c r="C3" s="29" t="s">
        <v>253</v>
      </c>
      <c r="E3" s="9" t="s">
        <v>255</v>
      </c>
      <c r="F3" s="29" t="s">
        <v>241</v>
      </c>
      <c r="G3" s="29" t="s">
        <v>235</v>
      </c>
      <c r="H3" s="29" t="s">
        <v>236</v>
      </c>
      <c r="I3" s="29" t="s">
        <v>62</v>
      </c>
      <c r="J3" s="29" t="s">
        <v>247</v>
      </c>
      <c r="K3" s="31">
        <v>32875</v>
      </c>
      <c r="L3" s="29" t="s">
        <v>264</v>
      </c>
      <c r="M3" s="29" t="s">
        <v>266</v>
      </c>
      <c r="N3" s="31">
        <v>42370</v>
      </c>
      <c r="O3" s="32">
        <v>250000000</v>
      </c>
      <c r="Q3" s="29" t="s">
        <v>518</v>
      </c>
      <c r="R3" s="32">
        <v>87800</v>
      </c>
      <c r="S3" s="29" t="s">
        <v>179</v>
      </c>
      <c r="T3" s="32">
        <v>1000000</v>
      </c>
      <c r="U3" s="46">
        <v>1600</v>
      </c>
      <c r="V3" s="47">
        <v>7.0000000000000007E-2</v>
      </c>
      <c r="W3" s="49">
        <v>401</v>
      </c>
      <c r="X3" s="47" t="str">
        <f t="shared" ref="X3:X10" si="0">VLOOKUP(W3,id_list,2,FALSE)</f>
        <v>コアプラス・アンド・アーキテクチャーズ株式会社</v>
      </c>
      <c r="Y3" s="51">
        <v>43105</v>
      </c>
      <c r="Z3" s="32">
        <v>260000000</v>
      </c>
      <c r="AU3"/>
    </row>
    <row r="4" spans="1:71" s="29" customFormat="1" ht="17.25" customHeight="1" x14ac:dyDescent="0.4">
      <c r="A4" s="30">
        <v>202</v>
      </c>
      <c r="B4" s="29" t="s">
        <v>537</v>
      </c>
      <c r="C4" s="29" t="s">
        <v>254</v>
      </c>
      <c r="E4" s="9" t="s">
        <v>256</v>
      </c>
      <c r="F4" s="29" t="s">
        <v>240</v>
      </c>
      <c r="G4" s="29" t="s">
        <v>235</v>
      </c>
      <c r="H4" s="29" t="s">
        <v>236</v>
      </c>
      <c r="I4" s="29" t="s">
        <v>62</v>
      </c>
      <c r="J4" s="29" t="s">
        <v>262</v>
      </c>
      <c r="K4" s="31">
        <v>33241</v>
      </c>
      <c r="L4" s="29" t="s">
        <v>264</v>
      </c>
      <c r="M4" s="29" t="s">
        <v>266</v>
      </c>
      <c r="N4" s="31">
        <v>42370</v>
      </c>
      <c r="O4" s="32">
        <v>250000000</v>
      </c>
      <c r="Q4" s="29" t="s">
        <v>527</v>
      </c>
      <c r="R4" s="32">
        <v>90000</v>
      </c>
      <c r="S4" s="29" t="s">
        <v>524</v>
      </c>
      <c r="T4" s="32">
        <v>1000000</v>
      </c>
      <c r="U4" s="46">
        <v>1600</v>
      </c>
      <c r="V4" s="47">
        <v>7.0000000000000007E-2</v>
      </c>
      <c r="W4" s="49">
        <v>402</v>
      </c>
      <c r="X4" s="47" t="str">
        <f t="shared" si="0"/>
        <v>さんためエステート株式会社</v>
      </c>
      <c r="Y4" s="51">
        <v>43105</v>
      </c>
      <c r="Z4" s="32">
        <v>260000000</v>
      </c>
      <c r="AU4"/>
    </row>
    <row r="5" spans="1:71" s="29" customFormat="1" ht="17.25" customHeight="1" x14ac:dyDescent="0.4">
      <c r="A5" s="30">
        <v>203</v>
      </c>
      <c r="B5" s="29" t="s">
        <v>539</v>
      </c>
      <c r="E5" s="9" t="s">
        <v>257</v>
      </c>
      <c r="F5" s="29" t="s">
        <v>242</v>
      </c>
      <c r="G5" s="29" t="s">
        <v>235</v>
      </c>
      <c r="H5" s="29" t="s">
        <v>236</v>
      </c>
      <c r="I5" s="29" t="s">
        <v>62</v>
      </c>
      <c r="J5" s="29" t="s">
        <v>263</v>
      </c>
      <c r="K5" s="31">
        <v>33607</v>
      </c>
      <c r="L5" s="29" t="s">
        <v>264</v>
      </c>
      <c r="M5" s="29" t="s">
        <v>266</v>
      </c>
      <c r="N5" s="31">
        <v>42370</v>
      </c>
      <c r="O5" s="32">
        <v>250000000</v>
      </c>
      <c r="Q5" s="29" t="s">
        <v>527</v>
      </c>
      <c r="R5" s="32">
        <v>95000</v>
      </c>
      <c r="S5" s="29" t="s">
        <v>525</v>
      </c>
      <c r="T5" s="32">
        <v>1000000</v>
      </c>
      <c r="U5" s="46">
        <v>1600</v>
      </c>
      <c r="V5" s="47">
        <v>7.0000000000000007E-2</v>
      </c>
      <c r="W5" s="49">
        <v>403</v>
      </c>
      <c r="X5" s="47" t="str">
        <f t="shared" si="0"/>
        <v>よんためプロパティ株式会社</v>
      </c>
      <c r="Y5" s="51" t="s">
        <v>62</v>
      </c>
      <c r="Z5" s="32" t="s">
        <v>62</v>
      </c>
      <c r="AU5"/>
    </row>
    <row r="6" spans="1:71" s="29" customFormat="1" ht="17.25" customHeight="1" x14ac:dyDescent="0.4">
      <c r="A6" s="30">
        <v>204</v>
      </c>
      <c r="B6" s="29" t="s">
        <v>17</v>
      </c>
      <c r="E6" s="9" t="s">
        <v>258</v>
      </c>
      <c r="F6" s="29" t="s">
        <v>243</v>
      </c>
      <c r="G6" s="29" t="s">
        <v>235</v>
      </c>
      <c r="H6" s="29" t="s">
        <v>237</v>
      </c>
      <c r="I6" s="29" t="s">
        <v>239</v>
      </c>
      <c r="J6" s="29" t="s">
        <v>247</v>
      </c>
      <c r="K6" s="31">
        <v>33974</v>
      </c>
      <c r="L6" s="29" t="s">
        <v>265</v>
      </c>
      <c r="M6" s="29" t="s">
        <v>267</v>
      </c>
      <c r="N6" s="31">
        <v>42370</v>
      </c>
      <c r="O6" s="32">
        <v>250000000</v>
      </c>
      <c r="Q6" s="29" t="s">
        <v>527</v>
      </c>
      <c r="R6" s="32">
        <v>87800</v>
      </c>
      <c r="S6" s="29" t="s">
        <v>179</v>
      </c>
      <c r="T6" s="32">
        <v>1000000</v>
      </c>
      <c r="U6" s="46">
        <v>1600</v>
      </c>
      <c r="V6" s="47">
        <v>7.0000000000000007E-2</v>
      </c>
      <c r="W6" s="49">
        <v>404</v>
      </c>
      <c r="X6" s="47" t="str">
        <f t="shared" si="0"/>
        <v>ごためランド株式会社</v>
      </c>
      <c r="Y6" s="51" t="s">
        <v>62</v>
      </c>
      <c r="Z6" s="32" t="s">
        <v>62</v>
      </c>
      <c r="AU6"/>
    </row>
    <row r="7" spans="1:71" s="29" customFormat="1" ht="17.25" customHeight="1" x14ac:dyDescent="0.4">
      <c r="A7" s="30">
        <v>205</v>
      </c>
      <c r="B7" s="29" t="s">
        <v>19</v>
      </c>
      <c r="E7" s="9" t="s">
        <v>259</v>
      </c>
      <c r="F7" s="29" t="s">
        <v>244</v>
      </c>
      <c r="G7" s="29" t="s">
        <v>235</v>
      </c>
      <c r="H7" s="29" t="s">
        <v>237</v>
      </c>
      <c r="I7" s="29" t="s">
        <v>239</v>
      </c>
      <c r="J7" s="29" t="s">
        <v>262</v>
      </c>
      <c r="K7" s="31">
        <v>34340</v>
      </c>
      <c r="L7" s="29" t="s">
        <v>265</v>
      </c>
      <c r="M7" s="29" t="s">
        <v>267</v>
      </c>
      <c r="N7" s="31">
        <v>42370</v>
      </c>
      <c r="O7" s="32">
        <v>250000000</v>
      </c>
      <c r="Q7" s="29" t="s">
        <v>527</v>
      </c>
      <c r="R7" s="32">
        <v>90000</v>
      </c>
      <c r="S7" s="29" t="s">
        <v>524</v>
      </c>
      <c r="T7" s="32">
        <v>1000000</v>
      </c>
      <c r="U7" s="46">
        <v>1600</v>
      </c>
      <c r="V7" s="47">
        <v>7.0000000000000007E-2</v>
      </c>
      <c r="W7" s="49">
        <v>405</v>
      </c>
      <c r="X7" s="47" t="str">
        <f t="shared" si="0"/>
        <v>ろくためアセット株式会社</v>
      </c>
      <c r="Y7" s="51" t="s">
        <v>62</v>
      </c>
      <c r="Z7" s="32" t="s">
        <v>62</v>
      </c>
      <c r="AU7"/>
    </row>
    <row r="8" spans="1:71" s="29" customFormat="1" ht="17.25" customHeight="1" x14ac:dyDescent="0.4">
      <c r="A8" s="30">
        <v>206</v>
      </c>
      <c r="B8" s="29" t="s">
        <v>60</v>
      </c>
      <c r="E8" s="9" t="s">
        <v>260</v>
      </c>
      <c r="F8" s="29" t="s">
        <v>245</v>
      </c>
      <c r="G8" s="29" t="s">
        <v>235</v>
      </c>
      <c r="H8" s="29" t="s">
        <v>236</v>
      </c>
      <c r="I8" s="29" t="s">
        <v>62</v>
      </c>
      <c r="J8" s="29" t="s">
        <v>263</v>
      </c>
      <c r="K8" s="31">
        <v>34706</v>
      </c>
      <c r="L8" s="29" t="s">
        <v>264</v>
      </c>
      <c r="M8" s="29" t="s">
        <v>266</v>
      </c>
      <c r="N8" s="31">
        <v>42370</v>
      </c>
      <c r="O8" s="32">
        <v>250000000</v>
      </c>
      <c r="Q8" s="29" t="s">
        <v>527</v>
      </c>
      <c r="R8" s="32">
        <v>95000</v>
      </c>
      <c r="S8" s="29" t="s">
        <v>525</v>
      </c>
      <c r="T8" s="32">
        <v>1000000</v>
      </c>
      <c r="U8" s="46">
        <v>1600</v>
      </c>
      <c r="V8" s="47">
        <v>7.0000000000000007E-2</v>
      </c>
      <c r="W8" s="49">
        <v>406</v>
      </c>
      <c r="X8" s="47" t="str">
        <f t="shared" si="0"/>
        <v>ななためマネジメント株式会社</v>
      </c>
      <c r="Y8" s="51" t="s">
        <v>62</v>
      </c>
      <c r="Z8" s="32" t="s">
        <v>62</v>
      </c>
      <c r="AU8"/>
    </row>
    <row r="9" spans="1:71" s="29" customFormat="1" ht="17.25" customHeight="1" x14ac:dyDescent="0.4">
      <c r="A9" s="30">
        <v>207</v>
      </c>
      <c r="B9" s="29" t="s">
        <v>56</v>
      </c>
      <c r="E9" s="9" t="s">
        <v>261</v>
      </c>
      <c r="F9" s="29" t="s">
        <v>246</v>
      </c>
      <c r="G9" s="29" t="s">
        <v>235</v>
      </c>
      <c r="H9" s="29" t="s">
        <v>236</v>
      </c>
      <c r="I9" s="29" t="s">
        <v>62</v>
      </c>
      <c r="J9" s="29" t="s">
        <v>247</v>
      </c>
      <c r="K9" s="31">
        <v>35072</v>
      </c>
      <c r="L9" s="29" t="s">
        <v>264</v>
      </c>
      <c r="M9" s="29" t="s">
        <v>266</v>
      </c>
      <c r="N9" s="31">
        <v>42370</v>
      </c>
      <c r="O9" s="32">
        <v>250000000</v>
      </c>
      <c r="Q9" s="29" t="s">
        <v>527</v>
      </c>
      <c r="R9" s="32">
        <v>87800</v>
      </c>
      <c r="S9" s="29" t="s">
        <v>179</v>
      </c>
      <c r="T9" s="32">
        <v>1000000</v>
      </c>
      <c r="U9" s="46">
        <v>1600</v>
      </c>
      <c r="V9" s="47">
        <v>7.0000000000000007E-2</v>
      </c>
      <c r="W9" s="49">
        <v>401</v>
      </c>
      <c r="X9" s="47" t="str">
        <f t="shared" si="0"/>
        <v>コアプラス・アンド・アーキテクチャーズ株式会社</v>
      </c>
      <c r="Y9" s="51" t="s">
        <v>62</v>
      </c>
      <c r="Z9" s="32" t="s">
        <v>62</v>
      </c>
      <c r="AU9"/>
    </row>
    <row r="10" spans="1:71" s="29" customFormat="1" ht="17.25" customHeight="1" x14ac:dyDescent="0.4">
      <c r="A10" s="30">
        <v>208</v>
      </c>
      <c r="B10" s="29" t="s">
        <v>58</v>
      </c>
      <c r="E10" s="9" t="s">
        <v>255</v>
      </c>
      <c r="F10" s="29" t="s">
        <v>240</v>
      </c>
      <c r="G10" s="29" t="s">
        <v>235</v>
      </c>
      <c r="H10" s="29" t="s">
        <v>236</v>
      </c>
      <c r="I10" s="29" t="s">
        <v>62</v>
      </c>
      <c r="J10" s="29" t="s">
        <v>262</v>
      </c>
      <c r="K10" s="31">
        <v>35439</v>
      </c>
      <c r="L10" s="29" t="s">
        <v>264</v>
      </c>
      <c r="M10" s="29" t="s">
        <v>266</v>
      </c>
      <c r="N10" s="31">
        <v>42370</v>
      </c>
      <c r="O10" s="32">
        <v>250000000</v>
      </c>
      <c r="Q10" s="29" t="s">
        <v>527</v>
      </c>
      <c r="R10" s="32">
        <v>90000</v>
      </c>
      <c r="S10" s="29" t="s">
        <v>524</v>
      </c>
      <c r="T10" s="32">
        <v>1000000</v>
      </c>
      <c r="U10" s="46">
        <v>1600</v>
      </c>
      <c r="V10" s="47">
        <v>7.0000000000000007E-2</v>
      </c>
      <c r="W10" s="49">
        <v>402</v>
      </c>
      <c r="X10" s="47" t="str">
        <f t="shared" si="0"/>
        <v>さんためエステート株式会社</v>
      </c>
      <c r="Y10" s="51" t="s">
        <v>62</v>
      </c>
      <c r="Z10" s="32" t="s">
        <v>62</v>
      </c>
      <c r="AU10"/>
    </row>
    <row r="11" spans="1:71" s="29" customFormat="1" ht="17.25" customHeight="1" x14ac:dyDescent="0.4">
      <c r="A11" s="30">
        <v>209</v>
      </c>
      <c r="E11" s="9"/>
      <c r="T11" s="32"/>
      <c r="W11" s="49"/>
      <c r="Y11" s="51"/>
      <c r="AU11"/>
    </row>
    <row r="12" spans="1:71" s="29" customFormat="1" ht="17.25" customHeight="1" x14ac:dyDescent="0.4">
      <c r="A12" s="30">
        <v>210</v>
      </c>
      <c r="E12" s="9"/>
      <c r="W12" s="49"/>
      <c r="Y12" s="51"/>
      <c r="AU12"/>
    </row>
    <row r="13" spans="1:71" s="29" customFormat="1" ht="17.25" customHeight="1" x14ac:dyDescent="0.4">
      <c r="A13" s="30">
        <v>211</v>
      </c>
      <c r="E13" s="9"/>
      <c r="Y13" s="51"/>
      <c r="AU13"/>
    </row>
    <row r="14" spans="1:71" s="29" customFormat="1" ht="17.25" customHeight="1" x14ac:dyDescent="0.4">
      <c r="A14" s="30">
        <v>212</v>
      </c>
      <c r="E14" s="9"/>
      <c r="Y14" s="51"/>
      <c r="AU14"/>
    </row>
    <row r="15" spans="1:71" s="29" customFormat="1" ht="17.25" customHeight="1" x14ac:dyDescent="0.4">
      <c r="A15" s="30">
        <v>213</v>
      </c>
      <c r="E15" s="9"/>
      <c r="Y15" s="51"/>
      <c r="AU15"/>
    </row>
    <row r="16" spans="1:71" s="29" customFormat="1" ht="17.25" customHeight="1" x14ac:dyDescent="0.4">
      <c r="A16" s="30">
        <v>214</v>
      </c>
      <c r="E16" s="9"/>
      <c r="Y16" s="51"/>
      <c r="AU16"/>
    </row>
    <row r="17" spans="1:47" s="29" customFormat="1" ht="17.25" customHeight="1" x14ac:dyDescent="0.4">
      <c r="A17" s="30">
        <v>215</v>
      </c>
      <c r="E17" s="9"/>
      <c r="Y17" s="51"/>
      <c r="AU17"/>
    </row>
    <row r="18" spans="1:47" s="29" customFormat="1" ht="17.25" customHeight="1" x14ac:dyDescent="0.4">
      <c r="A18" s="30">
        <v>216</v>
      </c>
      <c r="E18" s="9"/>
      <c r="Y18" s="51"/>
      <c r="AU18"/>
    </row>
    <row r="19" spans="1:47" s="29" customFormat="1" ht="17.25" customHeight="1" x14ac:dyDescent="0.4">
      <c r="A19" s="30">
        <v>217</v>
      </c>
      <c r="E19" s="9"/>
      <c r="Y19" s="51"/>
      <c r="AU19"/>
    </row>
    <row r="20" spans="1:47" s="29" customFormat="1" ht="17.25" customHeight="1" x14ac:dyDescent="0.4">
      <c r="A20" s="30">
        <v>218</v>
      </c>
      <c r="E20" s="9"/>
      <c r="Y20" s="51"/>
      <c r="AU20"/>
    </row>
    <row r="21" spans="1:47" s="29" customFormat="1" ht="17.25" customHeight="1" x14ac:dyDescent="0.4">
      <c r="A21" s="30">
        <v>219</v>
      </c>
      <c r="E21" s="9"/>
      <c r="Y21" s="51"/>
      <c r="AU21"/>
    </row>
    <row r="22" spans="1:47" s="29" customFormat="1" ht="17.25" customHeight="1" x14ac:dyDescent="0.4">
      <c r="A22" s="30">
        <v>220</v>
      </c>
      <c r="E22" s="9"/>
      <c r="Y22" s="51"/>
      <c r="AU22"/>
    </row>
    <row r="23" spans="1:47" s="29" customFormat="1" ht="17.25" customHeight="1" x14ac:dyDescent="0.4">
      <c r="A23" s="30">
        <v>221</v>
      </c>
      <c r="E23" s="9"/>
      <c r="Y23" s="51"/>
      <c r="AU23"/>
    </row>
    <row r="24" spans="1:47" s="29" customFormat="1" ht="17.25" customHeight="1" x14ac:dyDescent="0.4">
      <c r="A24" s="30">
        <v>222</v>
      </c>
      <c r="E24" s="9"/>
      <c r="Y24" s="50"/>
      <c r="AU24"/>
    </row>
    <row r="25" spans="1:47" s="29" customFormat="1" ht="17.25" customHeight="1" x14ac:dyDescent="0.4">
      <c r="A25" s="30">
        <v>223</v>
      </c>
      <c r="E25" s="9"/>
      <c r="Y25" s="50"/>
      <c r="AU25"/>
    </row>
    <row r="26" spans="1:47" s="29" customFormat="1" ht="17.25" customHeight="1" x14ac:dyDescent="0.4">
      <c r="A26" s="30">
        <v>224</v>
      </c>
      <c r="E26" s="9"/>
      <c r="Y26" s="50"/>
      <c r="AU26"/>
    </row>
    <row r="27" spans="1:47" s="29" customFormat="1" ht="17.25" customHeight="1" x14ac:dyDescent="0.4">
      <c r="A27" s="30">
        <v>225</v>
      </c>
      <c r="E27" s="9"/>
      <c r="Y27" s="50"/>
      <c r="AU27"/>
    </row>
    <row r="28" spans="1:47" s="29" customFormat="1" ht="17.25" customHeight="1" x14ac:dyDescent="0.4">
      <c r="A28" s="30">
        <v>226</v>
      </c>
      <c r="E28" s="9"/>
      <c r="Y28" s="50"/>
      <c r="AU28"/>
    </row>
    <row r="29" spans="1:47" s="29" customFormat="1" ht="17.25" customHeight="1" x14ac:dyDescent="0.4">
      <c r="A29" s="30">
        <v>227</v>
      </c>
      <c r="E29" s="9"/>
      <c r="Y29" s="50"/>
      <c r="AU29"/>
    </row>
    <row r="30" spans="1:47" s="29" customFormat="1" ht="17.25" customHeight="1" x14ac:dyDescent="0.4">
      <c r="A30" s="30">
        <v>228</v>
      </c>
      <c r="E30" s="9"/>
      <c r="Y30" s="50"/>
      <c r="AU30"/>
    </row>
    <row r="31" spans="1:47" s="29" customFormat="1" ht="17.25" customHeight="1" x14ac:dyDescent="0.4">
      <c r="A31" s="30">
        <v>229</v>
      </c>
      <c r="E31" s="9"/>
      <c r="Y31" s="50"/>
      <c r="AU31"/>
    </row>
    <row r="32" spans="1:47" s="29" customFormat="1" ht="17.25" customHeight="1" x14ac:dyDescent="0.4">
      <c r="A32" s="30">
        <v>230</v>
      </c>
      <c r="E32" s="9"/>
      <c r="Y32" s="50"/>
      <c r="AU32"/>
    </row>
    <row r="33" spans="1:47" s="29" customFormat="1" ht="17.25" customHeight="1" x14ac:dyDescent="0.4">
      <c r="A33" s="33"/>
      <c r="AU33"/>
    </row>
    <row r="34" spans="1:47" s="29" customFormat="1" ht="17.25" customHeight="1" x14ac:dyDescent="0.4">
      <c r="A34" s="26" t="s">
        <v>250</v>
      </c>
      <c r="B34" s="26" t="s">
        <v>13</v>
      </c>
      <c r="C34" s="26" t="s">
        <v>248</v>
      </c>
      <c r="D34" s="26"/>
      <c r="E34" s="2" t="s">
        <v>268</v>
      </c>
      <c r="F34" s="2" t="s">
        <v>269</v>
      </c>
      <c r="G34" s="2" t="s">
        <v>270</v>
      </c>
      <c r="H34" s="2" t="s">
        <v>271</v>
      </c>
      <c r="I34" s="2" t="s">
        <v>238</v>
      </c>
      <c r="J34" s="2" t="s">
        <v>272</v>
      </c>
      <c r="K34" s="2" t="s">
        <v>273</v>
      </c>
      <c r="L34" s="2" t="s">
        <v>274</v>
      </c>
      <c r="M34" s="5" t="s">
        <v>233</v>
      </c>
      <c r="N34" s="2" t="s">
        <v>275</v>
      </c>
      <c r="O34" s="2" t="s">
        <v>325</v>
      </c>
      <c r="P34" s="27" t="s">
        <v>234</v>
      </c>
      <c r="Q34" s="3" t="s">
        <v>276</v>
      </c>
      <c r="R34" s="3" t="s">
        <v>277</v>
      </c>
      <c r="S34" s="3" t="s">
        <v>278</v>
      </c>
      <c r="T34" s="3" t="s">
        <v>279</v>
      </c>
      <c r="U34" s="4" t="s">
        <v>181</v>
      </c>
      <c r="V34" s="4" t="s">
        <v>187</v>
      </c>
      <c r="W34" s="45" t="s">
        <v>532</v>
      </c>
      <c r="X34" s="45" t="s">
        <v>533</v>
      </c>
      <c r="Y34" s="45" t="s">
        <v>157</v>
      </c>
      <c r="Z34" s="45" t="s">
        <v>158</v>
      </c>
      <c r="AU34"/>
    </row>
    <row r="35" spans="1:47" s="29" customFormat="1" ht="17.25" customHeight="1" x14ac:dyDescent="0.4">
      <c r="A35" s="34">
        <v>301</v>
      </c>
      <c r="B35" s="29" t="s">
        <v>21</v>
      </c>
      <c r="C35" s="29" t="s">
        <v>220</v>
      </c>
      <c r="E35" s="9" t="s">
        <v>255</v>
      </c>
      <c r="F35" s="29" t="s">
        <v>241</v>
      </c>
      <c r="G35" s="29" t="s">
        <v>488</v>
      </c>
      <c r="H35" s="29" t="s">
        <v>236</v>
      </c>
      <c r="I35" s="29" t="s">
        <v>62</v>
      </c>
      <c r="J35" s="29" t="s">
        <v>489</v>
      </c>
      <c r="K35" s="31">
        <v>33607</v>
      </c>
      <c r="L35" s="29" t="s">
        <v>264</v>
      </c>
      <c r="M35" s="29" t="s">
        <v>266</v>
      </c>
      <c r="N35" s="31">
        <v>42370</v>
      </c>
      <c r="O35" s="32">
        <v>70000000</v>
      </c>
      <c r="Q35" s="29" t="s">
        <v>527</v>
      </c>
      <c r="R35" s="29" t="s">
        <v>526</v>
      </c>
      <c r="S35" s="29" t="s">
        <v>526</v>
      </c>
      <c r="T35" s="32">
        <v>100000</v>
      </c>
      <c r="U35" s="46">
        <v>200</v>
      </c>
      <c r="V35" s="47">
        <v>6.5000000000000002E-2</v>
      </c>
      <c r="W35" s="49">
        <v>401</v>
      </c>
      <c r="X35" s="47" t="str">
        <f t="shared" ref="X35:X40" si="1">VLOOKUP(W35,id_list,2,FALSE)</f>
        <v>コアプラス・アンド・アーキテクチャーズ株式会社</v>
      </c>
      <c r="Y35" s="51" t="s">
        <v>62</v>
      </c>
      <c r="Z35" s="32" t="s">
        <v>62</v>
      </c>
      <c r="AU35"/>
    </row>
    <row r="36" spans="1:47" s="29" customFormat="1" ht="17.25" customHeight="1" x14ac:dyDescent="0.4">
      <c r="A36" s="34">
        <v>302</v>
      </c>
      <c r="B36" s="29" t="s">
        <v>23</v>
      </c>
      <c r="E36" s="9" t="s">
        <v>256</v>
      </c>
      <c r="F36" s="29" t="s">
        <v>240</v>
      </c>
      <c r="G36" s="29" t="s">
        <v>488</v>
      </c>
      <c r="H36" s="29" t="s">
        <v>236</v>
      </c>
      <c r="I36" s="29" t="s">
        <v>62</v>
      </c>
      <c r="J36" s="29" t="s">
        <v>489</v>
      </c>
      <c r="K36" s="31">
        <v>33974</v>
      </c>
      <c r="L36" s="29" t="s">
        <v>264</v>
      </c>
      <c r="M36" s="29" t="s">
        <v>266</v>
      </c>
      <c r="N36" s="31">
        <v>42370</v>
      </c>
      <c r="O36" s="32">
        <v>70000000</v>
      </c>
      <c r="Q36" s="29" t="s">
        <v>527</v>
      </c>
      <c r="R36" s="29" t="s">
        <v>526</v>
      </c>
      <c r="S36" s="29" t="s">
        <v>526</v>
      </c>
      <c r="T36" s="32">
        <v>100000</v>
      </c>
      <c r="U36" s="46">
        <v>200</v>
      </c>
      <c r="V36" s="47">
        <v>6.5000000000000002E-2</v>
      </c>
      <c r="W36" s="49">
        <v>402</v>
      </c>
      <c r="X36" s="47" t="str">
        <f t="shared" si="1"/>
        <v>さんためエステート株式会社</v>
      </c>
      <c r="Y36" s="51" t="s">
        <v>62</v>
      </c>
      <c r="Z36" s="32" t="s">
        <v>62</v>
      </c>
      <c r="AU36"/>
    </row>
    <row r="37" spans="1:47" s="29" customFormat="1" ht="17.25" customHeight="1" x14ac:dyDescent="0.4">
      <c r="A37" s="34">
        <v>303</v>
      </c>
      <c r="B37" s="29" t="s">
        <v>227</v>
      </c>
      <c r="E37" s="9" t="s">
        <v>257</v>
      </c>
      <c r="F37" s="29" t="s">
        <v>242</v>
      </c>
      <c r="G37" s="29" t="s">
        <v>488</v>
      </c>
      <c r="H37" s="29" t="s">
        <v>236</v>
      </c>
      <c r="I37" s="29" t="s">
        <v>62</v>
      </c>
      <c r="J37" s="29" t="s">
        <v>489</v>
      </c>
      <c r="K37" s="31">
        <v>34340</v>
      </c>
      <c r="L37" s="29" t="s">
        <v>264</v>
      </c>
      <c r="M37" s="29" t="s">
        <v>266</v>
      </c>
      <c r="N37" s="31">
        <v>42370</v>
      </c>
      <c r="O37" s="32">
        <v>70000000</v>
      </c>
      <c r="Q37" s="29" t="s">
        <v>527</v>
      </c>
      <c r="R37" s="29" t="s">
        <v>526</v>
      </c>
      <c r="S37" s="29" t="s">
        <v>526</v>
      </c>
      <c r="T37" s="32">
        <v>100000</v>
      </c>
      <c r="U37" s="46">
        <v>200</v>
      </c>
      <c r="V37" s="47">
        <v>6.5000000000000002E-2</v>
      </c>
      <c r="W37" s="49">
        <v>403</v>
      </c>
      <c r="X37" s="47" t="str">
        <f t="shared" si="1"/>
        <v>よんためプロパティ株式会社</v>
      </c>
      <c r="Y37" s="51" t="s">
        <v>62</v>
      </c>
      <c r="Z37" s="32" t="s">
        <v>62</v>
      </c>
      <c r="AU37"/>
    </row>
    <row r="38" spans="1:47" s="29" customFormat="1" ht="17.25" customHeight="1" x14ac:dyDescent="0.4">
      <c r="A38" s="34">
        <v>304</v>
      </c>
      <c r="B38" s="29" t="s">
        <v>229</v>
      </c>
      <c r="E38" s="9" t="s">
        <v>257</v>
      </c>
      <c r="F38" s="29" t="s">
        <v>243</v>
      </c>
      <c r="G38" s="29" t="s">
        <v>488</v>
      </c>
      <c r="H38" s="29" t="s">
        <v>236</v>
      </c>
      <c r="I38" s="29" t="s">
        <v>62</v>
      </c>
      <c r="J38" s="29" t="s">
        <v>489</v>
      </c>
      <c r="K38" s="31">
        <v>34706</v>
      </c>
      <c r="L38" s="29" t="s">
        <v>264</v>
      </c>
      <c r="M38" s="29" t="s">
        <v>266</v>
      </c>
      <c r="N38" s="31">
        <v>42370</v>
      </c>
      <c r="O38" s="32">
        <v>70000000</v>
      </c>
      <c r="Q38" s="29" t="s">
        <v>527</v>
      </c>
      <c r="R38" s="29" t="s">
        <v>526</v>
      </c>
      <c r="S38" s="29" t="s">
        <v>526</v>
      </c>
      <c r="T38" s="32">
        <v>100000</v>
      </c>
      <c r="U38" s="46">
        <v>200</v>
      </c>
      <c r="V38" s="47">
        <v>6.5000000000000002E-2</v>
      </c>
      <c r="W38" s="49">
        <v>404</v>
      </c>
      <c r="X38" s="47" t="str">
        <f t="shared" si="1"/>
        <v>ごためランド株式会社</v>
      </c>
      <c r="Y38" s="51" t="s">
        <v>62</v>
      </c>
      <c r="Z38" s="32" t="s">
        <v>62</v>
      </c>
      <c r="AU38"/>
    </row>
    <row r="39" spans="1:47" s="29" customFormat="1" ht="17.25" customHeight="1" x14ac:dyDescent="0.4">
      <c r="A39" s="34">
        <v>305</v>
      </c>
      <c r="B39" s="29" t="s">
        <v>231</v>
      </c>
      <c r="E39" s="9" t="s">
        <v>257</v>
      </c>
      <c r="F39" s="29" t="s">
        <v>244</v>
      </c>
      <c r="G39" s="29" t="s">
        <v>488</v>
      </c>
      <c r="H39" s="29" t="s">
        <v>236</v>
      </c>
      <c r="I39" s="29" t="s">
        <v>62</v>
      </c>
      <c r="J39" s="29" t="s">
        <v>489</v>
      </c>
      <c r="K39" s="31">
        <v>35072</v>
      </c>
      <c r="L39" s="29" t="s">
        <v>264</v>
      </c>
      <c r="M39" s="29" t="s">
        <v>266</v>
      </c>
      <c r="N39" s="31">
        <v>42370</v>
      </c>
      <c r="O39" s="32">
        <v>70000000</v>
      </c>
      <c r="Q39" s="29" t="s">
        <v>527</v>
      </c>
      <c r="R39" s="29" t="s">
        <v>526</v>
      </c>
      <c r="S39" s="29" t="s">
        <v>526</v>
      </c>
      <c r="T39" s="32">
        <v>100000</v>
      </c>
      <c r="U39" s="46">
        <v>200</v>
      </c>
      <c r="V39" s="47">
        <v>6.5000000000000002E-2</v>
      </c>
      <c r="W39" s="49">
        <v>405</v>
      </c>
      <c r="X39" s="47" t="str">
        <f t="shared" si="1"/>
        <v>ろくためアセット株式会社</v>
      </c>
      <c r="Y39" s="51" t="s">
        <v>62</v>
      </c>
      <c r="Z39" s="32" t="s">
        <v>62</v>
      </c>
      <c r="AU39"/>
    </row>
    <row r="40" spans="1:47" s="29" customFormat="1" ht="17.25" customHeight="1" x14ac:dyDescent="0.4">
      <c r="A40" s="34">
        <v>306</v>
      </c>
      <c r="B40" s="29" t="s">
        <v>343</v>
      </c>
      <c r="E40" s="9" t="s">
        <v>344</v>
      </c>
      <c r="F40" s="29" t="s">
        <v>245</v>
      </c>
      <c r="G40" s="29" t="s">
        <v>488</v>
      </c>
      <c r="H40" s="29" t="s">
        <v>236</v>
      </c>
      <c r="I40" s="29" t="s">
        <v>62</v>
      </c>
      <c r="J40" s="29" t="s">
        <v>490</v>
      </c>
      <c r="K40" s="31">
        <v>35439</v>
      </c>
      <c r="L40" s="29" t="s">
        <v>491</v>
      </c>
      <c r="M40" s="29" t="s">
        <v>267</v>
      </c>
      <c r="N40" s="31">
        <v>42370</v>
      </c>
      <c r="O40" s="32">
        <v>70000000</v>
      </c>
      <c r="Q40" s="29" t="s">
        <v>527</v>
      </c>
      <c r="R40" s="29" t="s">
        <v>526</v>
      </c>
      <c r="S40" s="29" t="s">
        <v>526</v>
      </c>
      <c r="T40" s="32">
        <v>100000</v>
      </c>
      <c r="U40" s="46">
        <v>200</v>
      </c>
      <c r="V40" s="47">
        <v>6.5000000000000002E-2</v>
      </c>
      <c r="W40" s="49">
        <v>406</v>
      </c>
      <c r="X40" s="47" t="str">
        <f t="shared" si="1"/>
        <v>ななためマネジメント株式会社</v>
      </c>
      <c r="Y40" s="51" t="s">
        <v>62</v>
      </c>
      <c r="Z40" s="32" t="s">
        <v>62</v>
      </c>
      <c r="AU40"/>
    </row>
    <row r="41" spans="1:47" s="29" customFormat="1" ht="17.25" customHeight="1" x14ac:dyDescent="0.4">
      <c r="A41" s="34">
        <v>307</v>
      </c>
      <c r="E41" s="9"/>
      <c r="N41" s="31"/>
      <c r="U41" s="46"/>
      <c r="W41" s="49"/>
      <c r="X41" s="47"/>
      <c r="AU41"/>
    </row>
    <row r="42" spans="1:47" s="29" customFormat="1" ht="17.25" customHeight="1" x14ac:dyDescent="0.4">
      <c r="A42" s="34">
        <v>308</v>
      </c>
      <c r="E42" s="9"/>
      <c r="N42" s="31"/>
      <c r="U42" s="46"/>
      <c r="W42" s="49"/>
      <c r="X42" s="47"/>
      <c r="AU42"/>
    </row>
    <row r="43" spans="1:47" s="29" customFormat="1" ht="17.25" customHeight="1" x14ac:dyDescent="0.4">
      <c r="A43" s="34">
        <v>309</v>
      </c>
      <c r="E43" s="9"/>
      <c r="AU43"/>
    </row>
    <row r="44" spans="1:47" s="29" customFormat="1" ht="17.25" customHeight="1" x14ac:dyDescent="0.4">
      <c r="A44" s="34">
        <v>310</v>
      </c>
      <c r="E44" s="9"/>
      <c r="AU44"/>
    </row>
    <row r="45" spans="1:47" s="29" customFormat="1" ht="17.25" customHeight="1" x14ac:dyDescent="0.4">
      <c r="A45" s="34">
        <v>311</v>
      </c>
      <c r="E45" s="9"/>
      <c r="AU45"/>
    </row>
    <row r="46" spans="1:47" s="29" customFormat="1" ht="17.25" customHeight="1" x14ac:dyDescent="0.4">
      <c r="A46" s="34">
        <v>312</v>
      </c>
      <c r="E46" s="9"/>
      <c r="AU46"/>
    </row>
    <row r="47" spans="1:47" s="29" customFormat="1" ht="17.25" customHeight="1" x14ac:dyDescent="0.4">
      <c r="A47" s="34">
        <v>313</v>
      </c>
      <c r="E47" s="9"/>
      <c r="AU47"/>
    </row>
    <row r="48" spans="1:47" s="29" customFormat="1" ht="17.25" customHeight="1" x14ac:dyDescent="0.4">
      <c r="A48" s="34">
        <v>314</v>
      </c>
      <c r="E48" s="9"/>
      <c r="AU48"/>
    </row>
    <row r="49" spans="1:47" s="29" customFormat="1" ht="17.25" customHeight="1" x14ac:dyDescent="0.4">
      <c r="A49" s="34">
        <v>315</v>
      </c>
      <c r="E49" s="9"/>
      <c r="AU49"/>
    </row>
    <row r="50" spans="1:47" s="29" customFormat="1" ht="17.25" customHeight="1" x14ac:dyDescent="0.4">
      <c r="A50" s="34">
        <v>316</v>
      </c>
      <c r="E50" s="9"/>
      <c r="AU50"/>
    </row>
    <row r="51" spans="1:47" s="29" customFormat="1" ht="17.25" customHeight="1" x14ac:dyDescent="0.4">
      <c r="A51" s="34">
        <v>317</v>
      </c>
      <c r="E51" s="9"/>
      <c r="AU51"/>
    </row>
    <row r="52" spans="1:47" s="29" customFormat="1" ht="17.25" customHeight="1" x14ac:dyDescent="0.4">
      <c r="A52" s="34">
        <v>318</v>
      </c>
      <c r="E52" s="9"/>
      <c r="AU52"/>
    </row>
    <row r="53" spans="1:47" s="29" customFormat="1" ht="17.25" customHeight="1" x14ac:dyDescent="0.4">
      <c r="A53" s="34">
        <v>319</v>
      </c>
      <c r="E53" s="9"/>
      <c r="AU53"/>
    </row>
    <row r="54" spans="1:47" s="29" customFormat="1" ht="17.25" customHeight="1" x14ac:dyDescent="0.4">
      <c r="A54" s="34">
        <v>320</v>
      </c>
      <c r="E54" s="9"/>
      <c r="AU54"/>
    </row>
    <row r="55" spans="1:47" s="29" customFormat="1" ht="17.25" customHeight="1" x14ac:dyDescent="0.4">
      <c r="A55" s="34">
        <v>321</v>
      </c>
      <c r="E55" s="9"/>
      <c r="AU55"/>
    </row>
    <row r="56" spans="1:47" s="29" customFormat="1" ht="17.25" customHeight="1" x14ac:dyDescent="0.4">
      <c r="A56" s="34">
        <v>322</v>
      </c>
      <c r="E56" s="9"/>
      <c r="AU56"/>
    </row>
    <row r="57" spans="1:47" s="29" customFormat="1" ht="17.25" customHeight="1" x14ac:dyDescent="0.4">
      <c r="A57" s="34">
        <v>323</v>
      </c>
      <c r="E57" s="9"/>
      <c r="AU57"/>
    </row>
    <row r="58" spans="1:47" s="29" customFormat="1" ht="17.25" customHeight="1" x14ac:dyDescent="0.4">
      <c r="A58" s="34">
        <v>324</v>
      </c>
      <c r="E58" s="9"/>
      <c r="AU58"/>
    </row>
    <row r="59" spans="1:47" s="29" customFormat="1" ht="17.25" customHeight="1" x14ac:dyDescent="0.4">
      <c r="A59" s="34">
        <v>325</v>
      </c>
      <c r="E59" s="9"/>
      <c r="AU59"/>
    </row>
    <row r="60" spans="1:47" s="29" customFormat="1" ht="17.25" customHeight="1" x14ac:dyDescent="0.4">
      <c r="A60" s="34">
        <v>326</v>
      </c>
      <c r="E60" s="9"/>
      <c r="AU60"/>
    </row>
    <row r="61" spans="1:47" s="29" customFormat="1" ht="17.25" customHeight="1" x14ac:dyDescent="0.4">
      <c r="A61" s="34">
        <v>327</v>
      </c>
      <c r="E61" s="9"/>
      <c r="AU61"/>
    </row>
    <row r="62" spans="1:47" s="29" customFormat="1" ht="17.25" customHeight="1" x14ac:dyDescent="0.4">
      <c r="A62" s="34">
        <v>328</v>
      </c>
      <c r="E62" s="9"/>
      <c r="AU62"/>
    </row>
    <row r="63" spans="1:47" s="29" customFormat="1" ht="17.25" customHeight="1" x14ac:dyDescent="0.4">
      <c r="A63" s="34">
        <v>329</v>
      </c>
      <c r="E63" s="9"/>
      <c r="AU63"/>
    </row>
    <row r="64" spans="1:47" s="29" customFormat="1" ht="17.25" customHeight="1" x14ac:dyDescent="0.4">
      <c r="A64" s="34">
        <v>330</v>
      </c>
      <c r="E64" s="9"/>
      <c r="AU64"/>
    </row>
    <row r="65" spans="1:47" s="29" customFormat="1" ht="17.25" customHeight="1" x14ac:dyDescent="0.4">
      <c r="A65" s="33"/>
      <c r="B65" s="33"/>
      <c r="D65" s="33"/>
      <c r="AU65"/>
    </row>
    <row r="66" spans="1:47" s="29" customFormat="1" ht="17.25" customHeight="1" x14ac:dyDescent="0.4">
      <c r="A66" s="26" t="s">
        <v>251</v>
      </c>
      <c r="B66" s="26" t="s">
        <v>13</v>
      </c>
      <c r="C66" s="26" t="s">
        <v>248</v>
      </c>
      <c r="D66" s="26"/>
      <c r="E66" s="35" t="s">
        <v>4</v>
      </c>
      <c r="F66" s="35" t="s">
        <v>5</v>
      </c>
      <c r="G66" s="35" t="s">
        <v>6</v>
      </c>
      <c r="H66" s="35" t="s">
        <v>7</v>
      </c>
      <c r="I66" s="35" t="s">
        <v>8</v>
      </c>
      <c r="J66" s="36" t="s">
        <v>287</v>
      </c>
      <c r="K66" s="35" t="s">
        <v>9</v>
      </c>
      <c r="L66" s="37" t="s">
        <v>10</v>
      </c>
      <c r="M66" s="38" t="s">
        <v>11</v>
      </c>
      <c r="AU66"/>
    </row>
    <row r="67" spans="1:47" s="29" customFormat="1" ht="17.25" customHeight="1" x14ac:dyDescent="0.4">
      <c r="A67" s="39">
        <v>401</v>
      </c>
      <c r="B67" s="29" t="s">
        <v>25</v>
      </c>
      <c r="C67" s="29" t="s">
        <v>221</v>
      </c>
      <c r="E67" s="29" t="s">
        <v>281</v>
      </c>
      <c r="F67" s="29" t="s">
        <v>38</v>
      </c>
      <c r="G67" s="31">
        <v>43225</v>
      </c>
      <c r="H67" s="29" t="s">
        <v>63</v>
      </c>
      <c r="I67" s="29" t="s">
        <v>64</v>
      </c>
      <c r="J67" s="29">
        <v>0</v>
      </c>
      <c r="K67" s="29" t="s">
        <v>65</v>
      </c>
      <c r="L67" s="29" t="s">
        <v>66</v>
      </c>
      <c r="M67" s="29" t="s">
        <v>70</v>
      </c>
      <c r="AU67"/>
    </row>
    <row r="68" spans="1:47" s="29" customFormat="1" ht="17.25" customHeight="1" x14ac:dyDescent="0.4">
      <c r="A68" s="39">
        <v>402</v>
      </c>
      <c r="B68" s="29" t="s">
        <v>46</v>
      </c>
      <c r="E68" s="29" t="s">
        <v>282</v>
      </c>
      <c r="F68" s="29" t="s">
        <v>38</v>
      </c>
      <c r="G68" s="31">
        <v>42892</v>
      </c>
      <c r="H68" s="29" t="s">
        <v>63</v>
      </c>
      <c r="I68" s="29" t="s">
        <v>64</v>
      </c>
      <c r="J68" s="29">
        <v>1</v>
      </c>
      <c r="K68" s="29" t="s">
        <v>65</v>
      </c>
      <c r="L68" s="29" t="s">
        <v>67</v>
      </c>
      <c r="M68" s="29" t="s">
        <v>70</v>
      </c>
      <c r="AU68"/>
    </row>
    <row r="69" spans="1:47" s="29" customFormat="1" ht="17.25" customHeight="1" x14ac:dyDescent="0.4">
      <c r="A69" s="39">
        <v>403</v>
      </c>
      <c r="B69" s="29" t="s">
        <v>48</v>
      </c>
      <c r="E69" s="29" t="s">
        <v>283</v>
      </c>
      <c r="F69" s="29" t="s">
        <v>38</v>
      </c>
      <c r="G69" s="31">
        <v>42558</v>
      </c>
      <c r="H69" s="29" t="s">
        <v>63</v>
      </c>
      <c r="I69" s="29" t="s">
        <v>64</v>
      </c>
      <c r="J69" s="29">
        <v>2</v>
      </c>
      <c r="K69" s="29" t="s">
        <v>65</v>
      </c>
      <c r="L69" s="29" t="s">
        <v>69</v>
      </c>
      <c r="M69" s="29" t="s">
        <v>70</v>
      </c>
      <c r="AU69"/>
    </row>
    <row r="70" spans="1:47" s="29" customFormat="1" ht="17.25" customHeight="1" x14ac:dyDescent="0.4">
      <c r="A70" s="39">
        <v>404</v>
      </c>
      <c r="B70" s="29" t="s">
        <v>50</v>
      </c>
      <c r="E70" s="29" t="s">
        <v>284</v>
      </c>
      <c r="F70" s="29" t="s">
        <v>38</v>
      </c>
      <c r="G70" s="31">
        <v>42224</v>
      </c>
      <c r="H70" s="29" t="s">
        <v>63</v>
      </c>
      <c r="I70" s="29" t="s">
        <v>64</v>
      </c>
      <c r="J70" s="29">
        <v>3</v>
      </c>
      <c r="K70" s="29" t="s">
        <v>65</v>
      </c>
      <c r="L70" s="29" t="s">
        <v>66</v>
      </c>
      <c r="M70" s="29" t="s">
        <v>70</v>
      </c>
      <c r="AU70"/>
    </row>
    <row r="71" spans="1:47" s="29" customFormat="1" ht="17.25" customHeight="1" x14ac:dyDescent="0.4">
      <c r="A71" s="39">
        <v>405</v>
      </c>
      <c r="B71" s="29" t="s">
        <v>52</v>
      </c>
      <c r="E71" s="29" t="s">
        <v>285</v>
      </c>
      <c r="F71" s="29" t="s">
        <v>38</v>
      </c>
      <c r="G71" s="31">
        <v>41891</v>
      </c>
      <c r="H71" s="29" t="s">
        <v>63</v>
      </c>
      <c r="I71" s="29" t="s">
        <v>64</v>
      </c>
      <c r="J71" s="29">
        <v>4</v>
      </c>
      <c r="K71" s="29" t="s">
        <v>65</v>
      </c>
      <c r="L71" s="29" t="s">
        <v>67</v>
      </c>
      <c r="M71" s="29" t="s">
        <v>70</v>
      </c>
      <c r="AU71"/>
    </row>
    <row r="72" spans="1:47" s="29" customFormat="1" ht="17.25" customHeight="1" x14ac:dyDescent="0.4">
      <c r="A72" s="39">
        <v>406</v>
      </c>
      <c r="B72" s="29" t="s">
        <v>54</v>
      </c>
      <c r="E72" s="29" t="s">
        <v>286</v>
      </c>
      <c r="F72" s="29" t="s">
        <v>38</v>
      </c>
      <c r="G72" s="31">
        <v>41557</v>
      </c>
      <c r="H72" s="29" t="s">
        <v>63</v>
      </c>
      <c r="I72" s="29" t="s">
        <v>64</v>
      </c>
      <c r="J72" s="29">
        <v>5</v>
      </c>
      <c r="K72" s="29" t="s">
        <v>65</v>
      </c>
      <c r="L72" s="29" t="s">
        <v>69</v>
      </c>
      <c r="M72" s="29" t="s">
        <v>70</v>
      </c>
      <c r="AU72"/>
    </row>
    <row r="73" spans="1:47" s="29" customFormat="1" ht="17.25" customHeight="1" x14ac:dyDescent="0.4">
      <c r="A73" s="39">
        <v>407</v>
      </c>
      <c r="G73" s="31"/>
      <c r="AU73"/>
    </row>
    <row r="74" spans="1:47" s="29" customFormat="1" ht="17.25" customHeight="1" x14ac:dyDescent="0.4">
      <c r="A74" s="39">
        <v>408</v>
      </c>
      <c r="G74" s="31"/>
      <c r="AU74"/>
    </row>
    <row r="75" spans="1:47" s="29" customFormat="1" ht="17.25" customHeight="1" x14ac:dyDescent="0.4">
      <c r="A75" s="39">
        <v>409</v>
      </c>
      <c r="G75" s="31"/>
      <c r="AU75"/>
    </row>
    <row r="76" spans="1:47" s="29" customFormat="1" ht="17.25" customHeight="1" x14ac:dyDescent="0.4">
      <c r="A76" s="39">
        <v>410</v>
      </c>
      <c r="G76" s="31"/>
      <c r="AU76"/>
    </row>
    <row r="77" spans="1:47" s="29" customFormat="1" ht="17.25" customHeight="1" x14ac:dyDescent="0.4">
      <c r="A77" s="39">
        <v>411</v>
      </c>
      <c r="G77" s="31"/>
      <c r="AU77"/>
    </row>
    <row r="78" spans="1:47" s="29" customFormat="1" ht="17.25" customHeight="1" x14ac:dyDescent="0.4">
      <c r="A78" s="39">
        <v>412</v>
      </c>
      <c r="G78" s="31"/>
      <c r="AU78"/>
    </row>
    <row r="79" spans="1:47" s="29" customFormat="1" ht="17.25" customHeight="1" x14ac:dyDescent="0.4">
      <c r="A79" s="39">
        <v>413</v>
      </c>
      <c r="G79" s="31"/>
      <c r="AU79"/>
    </row>
    <row r="80" spans="1:47" s="29" customFormat="1" ht="17.25" customHeight="1" x14ac:dyDescent="0.4">
      <c r="A80" s="39">
        <v>414</v>
      </c>
      <c r="G80" s="31"/>
      <c r="AU80"/>
    </row>
    <row r="81" spans="1:47" s="29" customFormat="1" ht="17.25" customHeight="1" x14ac:dyDescent="0.4">
      <c r="A81" s="39">
        <v>415</v>
      </c>
      <c r="G81" s="31"/>
      <c r="AU81"/>
    </row>
    <row r="82" spans="1:47" s="29" customFormat="1" ht="17.25" customHeight="1" x14ac:dyDescent="0.4">
      <c r="A82" s="39">
        <v>416</v>
      </c>
      <c r="G82" s="31"/>
      <c r="AU82"/>
    </row>
    <row r="83" spans="1:47" s="29" customFormat="1" ht="17.25" customHeight="1" x14ac:dyDescent="0.4">
      <c r="A83" s="39">
        <v>417</v>
      </c>
      <c r="G83" s="31"/>
      <c r="AU83"/>
    </row>
    <row r="84" spans="1:47" s="29" customFormat="1" ht="17.25" customHeight="1" x14ac:dyDescent="0.4">
      <c r="A84" s="39">
        <v>418</v>
      </c>
      <c r="G84" s="31"/>
      <c r="AU84"/>
    </row>
    <row r="85" spans="1:47" s="29" customFormat="1" ht="17.25" customHeight="1" x14ac:dyDescent="0.4">
      <c r="A85" s="39">
        <v>419</v>
      </c>
      <c r="G85" s="31"/>
      <c r="AU85"/>
    </row>
    <row r="86" spans="1:47" s="29" customFormat="1" ht="17.25" customHeight="1" x14ac:dyDescent="0.4">
      <c r="A86" s="39">
        <v>420</v>
      </c>
      <c r="G86" s="31"/>
      <c r="AU86"/>
    </row>
    <row r="87" spans="1:47" s="29" customFormat="1" ht="17.25" customHeight="1" x14ac:dyDescent="0.4">
      <c r="A87" s="39">
        <v>421</v>
      </c>
      <c r="G87" s="31"/>
      <c r="AU87"/>
    </row>
    <row r="88" spans="1:47" s="29" customFormat="1" ht="17.25" customHeight="1" x14ac:dyDescent="0.4">
      <c r="A88" s="39">
        <v>422</v>
      </c>
      <c r="G88" s="31"/>
      <c r="AU88"/>
    </row>
    <row r="89" spans="1:47" s="29" customFormat="1" ht="17.25" customHeight="1" x14ac:dyDescent="0.4">
      <c r="A89" s="39">
        <v>423</v>
      </c>
      <c r="G89" s="31"/>
      <c r="AU89"/>
    </row>
    <row r="90" spans="1:47" s="29" customFormat="1" ht="17.25" customHeight="1" x14ac:dyDescent="0.4">
      <c r="A90" s="39">
        <v>424</v>
      </c>
      <c r="G90" s="31"/>
      <c r="AU90"/>
    </row>
    <row r="91" spans="1:47" s="29" customFormat="1" ht="17.25" customHeight="1" x14ac:dyDescent="0.4">
      <c r="A91" s="39">
        <v>425</v>
      </c>
      <c r="G91" s="31"/>
      <c r="AU91"/>
    </row>
    <row r="92" spans="1:47" s="29" customFormat="1" ht="17.25" customHeight="1" x14ac:dyDescent="0.4">
      <c r="A92" s="39">
        <v>426</v>
      </c>
      <c r="G92" s="31"/>
      <c r="AU92"/>
    </row>
    <row r="93" spans="1:47" s="29" customFormat="1" ht="17.25" customHeight="1" x14ac:dyDescent="0.4">
      <c r="A93" s="39">
        <v>427</v>
      </c>
      <c r="G93" s="31"/>
      <c r="AU93"/>
    </row>
    <row r="94" spans="1:47" s="29" customFormat="1" ht="17.25" customHeight="1" x14ac:dyDescent="0.4">
      <c r="A94" s="39">
        <v>428</v>
      </c>
      <c r="G94" s="31"/>
      <c r="AU94"/>
    </row>
    <row r="95" spans="1:47" s="29" customFormat="1" ht="17.25" customHeight="1" x14ac:dyDescent="0.4">
      <c r="A95" s="39">
        <v>429</v>
      </c>
      <c r="G95" s="31"/>
      <c r="AU95"/>
    </row>
    <row r="96" spans="1:47" s="29" customFormat="1" ht="17.25" customHeight="1" x14ac:dyDescent="0.4">
      <c r="A96" s="39">
        <v>430</v>
      </c>
      <c r="G96" s="31"/>
      <c r="AU96"/>
    </row>
    <row r="97" spans="1:47" s="29" customFormat="1" ht="17.25" customHeight="1" x14ac:dyDescent="0.4">
      <c r="A97" s="33"/>
      <c r="AU97"/>
    </row>
    <row r="98" spans="1:47" s="29" customFormat="1" ht="17.25" customHeight="1" x14ac:dyDescent="0.4">
      <c r="A98" s="26" t="s">
        <v>252</v>
      </c>
      <c r="B98" s="26" t="s">
        <v>13</v>
      </c>
      <c r="C98" s="26" t="s">
        <v>248</v>
      </c>
      <c r="D98" s="26"/>
      <c r="E98" s="35" t="s">
        <v>4</v>
      </c>
      <c r="F98" s="35" t="s">
        <v>5</v>
      </c>
      <c r="G98" s="35" t="s">
        <v>6</v>
      </c>
      <c r="H98" s="35" t="s">
        <v>7</v>
      </c>
      <c r="I98" s="35" t="s">
        <v>8</v>
      </c>
      <c r="J98" s="36" t="s">
        <v>287</v>
      </c>
      <c r="K98" s="35" t="s">
        <v>9</v>
      </c>
      <c r="L98" s="37" t="s">
        <v>10</v>
      </c>
      <c r="M98" s="38" t="s">
        <v>11</v>
      </c>
      <c r="AU98"/>
    </row>
    <row r="99" spans="1:47" s="29" customFormat="1" ht="17.25" customHeight="1" x14ac:dyDescent="0.4">
      <c r="A99" s="40">
        <v>501</v>
      </c>
      <c r="B99" s="29" t="s">
        <v>39</v>
      </c>
      <c r="C99" s="29" t="s">
        <v>222</v>
      </c>
      <c r="E99" s="29" t="s">
        <v>288</v>
      </c>
      <c r="F99" s="29" t="s">
        <v>288</v>
      </c>
      <c r="G99" s="31">
        <v>28491</v>
      </c>
      <c r="H99" s="29" t="s">
        <v>288</v>
      </c>
      <c r="I99" s="29" t="s">
        <v>288</v>
      </c>
      <c r="J99" s="29" t="s">
        <v>288</v>
      </c>
      <c r="K99" s="29" t="s">
        <v>288</v>
      </c>
      <c r="L99" s="29" t="s">
        <v>68</v>
      </c>
      <c r="M99" s="29" t="s">
        <v>534</v>
      </c>
      <c r="AU99"/>
    </row>
    <row r="100" spans="1:47" s="29" customFormat="1" ht="17.25" customHeight="1" x14ac:dyDescent="0.4">
      <c r="A100" s="40">
        <v>502</v>
      </c>
      <c r="B100" s="29" t="s">
        <v>40</v>
      </c>
      <c r="C100" s="29" t="s">
        <v>289</v>
      </c>
      <c r="E100" s="29" t="s">
        <v>288</v>
      </c>
      <c r="F100" s="29" t="s">
        <v>288</v>
      </c>
      <c r="G100" s="31">
        <v>28491</v>
      </c>
      <c r="H100" s="29" t="s">
        <v>288</v>
      </c>
      <c r="I100" s="29" t="s">
        <v>288</v>
      </c>
      <c r="J100" s="29" t="s">
        <v>288</v>
      </c>
      <c r="K100" s="29" t="s">
        <v>288</v>
      </c>
      <c r="L100" s="29" t="s">
        <v>68</v>
      </c>
      <c r="M100" s="29" t="s">
        <v>534</v>
      </c>
      <c r="AU100"/>
    </row>
    <row r="101" spans="1:47" s="29" customFormat="1" ht="17.25" customHeight="1" x14ac:dyDescent="0.4">
      <c r="A101" s="40">
        <v>503</v>
      </c>
      <c r="B101" s="29" t="s">
        <v>41</v>
      </c>
      <c r="E101" s="29" t="s">
        <v>288</v>
      </c>
      <c r="F101" s="29" t="s">
        <v>288</v>
      </c>
      <c r="G101" s="31">
        <v>36526</v>
      </c>
      <c r="H101" s="29" t="s">
        <v>288</v>
      </c>
      <c r="I101" s="29" t="s">
        <v>288</v>
      </c>
      <c r="J101" s="29" t="s">
        <v>288</v>
      </c>
      <c r="K101" s="29" t="s">
        <v>288</v>
      </c>
      <c r="L101" s="29" t="s">
        <v>62</v>
      </c>
      <c r="M101" s="29" t="s">
        <v>534</v>
      </c>
      <c r="AU101"/>
    </row>
    <row r="102" spans="1:47" s="29" customFormat="1" ht="17.25" customHeight="1" x14ac:dyDescent="0.4">
      <c r="A102" s="40">
        <v>504</v>
      </c>
      <c r="B102" s="29" t="s">
        <v>42</v>
      </c>
      <c r="E102" s="29" t="s">
        <v>288</v>
      </c>
      <c r="F102" s="29" t="s">
        <v>288</v>
      </c>
      <c r="G102" s="31">
        <v>36526</v>
      </c>
      <c r="H102" s="29" t="s">
        <v>288</v>
      </c>
      <c r="I102" s="29" t="s">
        <v>288</v>
      </c>
      <c r="J102" s="29" t="s">
        <v>288</v>
      </c>
      <c r="K102" s="29" t="s">
        <v>288</v>
      </c>
      <c r="L102" s="29" t="s">
        <v>62</v>
      </c>
      <c r="M102" s="29" t="s">
        <v>534</v>
      </c>
      <c r="AU102"/>
    </row>
    <row r="103" spans="1:47" s="29" customFormat="1" ht="17.25" customHeight="1" x14ac:dyDescent="0.4">
      <c r="A103" s="40">
        <v>505</v>
      </c>
      <c r="B103" s="29" t="s">
        <v>43</v>
      </c>
      <c r="E103" s="29" t="s">
        <v>288</v>
      </c>
      <c r="F103" s="29" t="s">
        <v>288</v>
      </c>
      <c r="G103" s="31">
        <v>36526</v>
      </c>
      <c r="H103" s="29" t="s">
        <v>288</v>
      </c>
      <c r="I103" s="29" t="s">
        <v>288</v>
      </c>
      <c r="J103" s="29" t="s">
        <v>288</v>
      </c>
      <c r="K103" s="29" t="s">
        <v>288</v>
      </c>
      <c r="L103" s="29" t="s">
        <v>62</v>
      </c>
      <c r="M103" s="29" t="s">
        <v>534</v>
      </c>
      <c r="AU103"/>
    </row>
    <row r="104" spans="1:47" s="29" customFormat="1" ht="17.25" customHeight="1" x14ac:dyDescent="0.4">
      <c r="A104" s="40">
        <v>506</v>
      </c>
      <c r="B104" s="29" t="s">
        <v>44</v>
      </c>
      <c r="E104" s="29" t="s">
        <v>288</v>
      </c>
      <c r="F104" s="29" t="s">
        <v>288</v>
      </c>
      <c r="G104" s="31">
        <v>36526</v>
      </c>
      <c r="H104" s="29" t="s">
        <v>288</v>
      </c>
      <c r="I104" s="29" t="s">
        <v>288</v>
      </c>
      <c r="J104" s="29" t="s">
        <v>288</v>
      </c>
      <c r="K104" s="29" t="s">
        <v>288</v>
      </c>
      <c r="L104" s="29" t="s">
        <v>62</v>
      </c>
      <c r="M104" s="29" t="s">
        <v>534</v>
      </c>
      <c r="AU104"/>
    </row>
    <row r="105" spans="1:47" s="29" customFormat="1" ht="17.25" customHeight="1" x14ac:dyDescent="0.4">
      <c r="A105" s="40">
        <v>507</v>
      </c>
      <c r="E105" s="29" t="s">
        <v>288</v>
      </c>
      <c r="F105" s="29" t="s">
        <v>288</v>
      </c>
      <c r="G105" s="31"/>
      <c r="H105" s="29" t="s">
        <v>288</v>
      </c>
      <c r="I105" s="29" t="s">
        <v>288</v>
      </c>
      <c r="J105" s="29" t="s">
        <v>288</v>
      </c>
      <c r="K105" s="29" t="s">
        <v>288</v>
      </c>
      <c r="AU105"/>
    </row>
    <row r="106" spans="1:47" s="29" customFormat="1" ht="17.25" customHeight="1" x14ac:dyDescent="0.4">
      <c r="A106" s="40">
        <v>508</v>
      </c>
      <c r="E106" s="29" t="s">
        <v>288</v>
      </c>
      <c r="F106" s="29" t="s">
        <v>288</v>
      </c>
      <c r="G106" s="31"/>
      <c r="H106" s="29" t="s">
        <v>288</v>
      </c>
      <c r="I106" s="29" t="s">
        <v>288</v>
      </c>
      <c r="J106" s="29" t="s">
        <v>288</v>
      </c>
      <c r="K106" s="29" t="s">
        <v>288</v>
      </c>
      <c r="AU106"/>
    </row>
    <row r="107" spans="1:47" s="29" customFormat="1" ht="17.25" customHeight="1" x14ac:dyDescent="0.4">
      <c r="A107" s="40">
        <v>509</v>
      </c>
      <c r="E107" s="29" t="s">
        <v>288</v>
      </c>
      <c r="F107" s="29" t="s">
        <v>288</v>
      </c>
      <c r="G107" s="31"/>
      <c r="H107" s="29" t="s">
        <v>288</v>
      </c>
      <c r="I107" s="29" t="s">
        <v>288</v>
      </c>
      <c r="J107" s="29" t="s">
        <v>288</v>
      </c>
      <c r="K107" s="29" t="s">
        <v>288</v>
      </c>
      <c r="AU107"/>
    </row>
    <row r="108" spans="1:47" s="29" customFormat="1" ht="17.25" customHeight="1" x14ac:dyDescent="0.4">
      <c r="A108" s="40">
        <v>510</v>
      </c>
      <c r="E108" s="29" t="s">
        <v>288</v>
      </c>
      <c r="F108" s="29" t="s">
        <v>288</v>
      </c>
      <c r="G108" s="31"/>
      <c r="H108" s="29" t="s">
        <v>288</v>
      </c>
      <c r="I108" s="29" t="s">
        <v>288</v>
      </c>
      <c r="J108" s="29" t="s">
        <v>288</v>
      </c>
      <c r="K108" s="29" t="s">
        <v>288</v>
      </c>
      <c r="AU108"/>
    </row>
    <row r="109" spans="1:47" s="29" customFormat="1" ht="17.25" customHeight="1" x14ac:dyDescent="0.4">
      <c r="A109" s="40">
        <v>511</v>
      </c>
      <c r="E109" s="29" t="s">
        <v>288</v>
      </c>
      <c r="F109" s="29" t="s">
        <v>288</v>
      </c>
      <c r="G109" s="31"/>
      <c r="H109" s="29" t="s">
        <v>288</v>
      </c>
      <c r="I109" s="29" t="s">
        <v>288</v>
      </c>
      <c r="J109" s="29" t="s">
        <v>288</v>
      </c>
      <c r="K109" s="29" t="s">
        <v>288</v>
      </c>
      <c r="AU109"/>
    </row>
    <row r="110" spans="1:47" s="29" customFormat="1" ht="17.25" customHeight="1" x14ac:dyDescent="0.4">
      <c r="A110" s="40">
        <v>512</v>
      </c>
      <c r="E110" s="29" t="s">
        <v>288</v>
      </c>
      <c r="F110" s="29" t="s">
        <v>288</v>
      </c>
      <c r="G110" s="31"/>
      <c r="H110" s="29" t="s">
        <v>288</v>
      </c>
      <c r="I110" s="29" t="s">
        <v>288</v>
      </c>
      <c r="J110" s="29" t="s">
        <v>288</v>
      </c>
      <c r="K110" s="29" t="s">
        <v>288</v>
      </c>
      <c r="AU110"/>
    </row>
    <row r="111" spans="1:47" s="29" customFormat="1" ht="17.25" customHeight="1" x14ac:dyDescent="0.4">
      <c r="A111" s="40">
        <v>513</v>
      </c>
      <c r="AU111"/>
    </row>
    <row r="112" spans="1:47" s="29" customFormat="1" ht="17.25" customHeight="1" x14ac:dyDescent="0.4">
      <c r="A112" s="40">
        <v>514</v>
      </c>
      <c r="AU112"/>
    </row>
    <row r="113" spans="1:47" s="29" customFormat="1" ht="17.25" customHeight="1" x14ac:dyDescent="0.4">
      <c r="A113" s="40">
        <v>515</v>
      </c>
      <c r="AU113"/>
    </row>
    <row r="114" spans="1:47" s="33" customFormat="1" ht="17.25" customHeight="1" x14ac:dyDescent="0.4">
      <c r="AU114"/>
    </row>
    <row r="115" spans="1:47" s="29" customFormat="1" ht="17.25" customHeight="1" x14ac:dyDescent="0.4">
      <c r="A115" s="26" t="s">
        <v>408</v>
      </c>
      <c r="B115" s="26" t="s">
        <v>13</v>
      </c>
      <c r="C115" s="26" t="s">
        <v>248</v>
      </c>
      <c r="D115" s="26"/>
      <c r="AU115"/>
    </row>
    <row r="116" spans="1:47" s="29" customFormat="1" ht="17.25" customHeight="1" x14ac:dyDescent="0.4">
      <c r="A116" s="41">
        <v>601</v>
      </c>
      <c r="B116" s="29" t="s">
        <v>27</v>
      </c>
      <c r="C116" s="29" t="s">
        <v>223</v>
      </c>
      <c r="AU116"/>
    </row>
    <row r="117" spans="1:47" s="29" customFormat="1" ht="17.25" customHeight="1" x14ac:dyDescent="0.4">
      <c r="A117" s="41">
        <v>602</v>
      </c>
      <c r="B117" s="29" t="s">
        <v>29</v>
      </c>
      <c r="AU117"/>
    </row>
    <row r="118" spans="1:47" s="29" customFormat="1" ht="17.25" customHeight="1" x14ac:dyDescent="0.4">
      <c r="A118" s="41">
        <v>603</v>
      </c>
      <c r="B118" s="29" t="s">
        <v>31</v>
      </c>
      <c r="AU118"/>
    </row>
    <row r="119" spans="1:47" s="29" customFormat="1" ht="17.25" customHeight="1" x14ac:dyDescent="0.4">
      <c r="A119" s="41">
        <v>604</v>
      </c>
      <c r="B119" s="29" t="s">
        <v>33</v>
      </c>
      <c r="AU119"/>
    </row>
    <row r="120" spans="1:47" s="29" customFormat="1" ht="17.25" customHeight="1" x14ac:dyDescent="0.4">
      <c r="A120" s="41">
        <v>605</v>
      </c>
      <c r="B120" s="29" t="s">
        <v>35</v>
      </c>
      <c r="AU120"/>
    </row>
    <row r="121" spans="1:47" s="29" customFormat="1" ht="17.25" customHeight="1" x14ac:dyDescent="0.4">
      <c r="A121" s="41">
        <v>606</v>
      </c>
      <c r="B121" s="29" t="s">
        <v>37</v>
      </c>
      <c r="AU121"/>
    </row>
    <row r="122" spans="1:47" s="29" customFormat="1" ht="17.25" customHeight="1" x14ac:dyDescent="0.4">
      <c r="A122" s="41">
        <v>607</v>
      </c>
      <c r="B122" s="29" t="s">
        <v>225</v>
      </c>
      <c r="AU122"/>
    </row>
    <row r="123" spans="1:47" s="29" customFormat="1" ht="17.25" customHeight="1" x14ac:dyDescent="0.4">
      <c r="A123" s="41">
        <v>608</v>
      </c>
      <c r="B123" s="29" t="s">
        <v>328</v>
      </c>
      <c r="AU123"/>
    </row>
    <row r="124" spans="1:47" s="29" customFormat="1" ht="17.25" customHeight="1" x14ac:dyDescent="0.4">
      <c r="A124" s="41">
        <v>609</v>
      </c>
      <c r="B124" s="29" t="s">
        <v>338</v>
      </c>
      <c r="AU124"/>
    </row>
    <row r="125" spans="1:47" s="29" customFormat="1" ht="17.25" customHeight="1" x14ac:dyDescent="0.4">
      <c r="A125" s="41">
        <v>610</v>
      </c>
      <c r="B125" s="29" t="s">
        <v>341</v>
      </c>
      <c r="AU125"/>
    </row>
    <row r="126" spans="1:47" s="29" customFormat="1" ht="17.25" customHeight="1" x14ac:dyDescent="0.4">
      <c r="A126" s="41">
        <v>611</v>
      </c>
      <c r="AU126"/>
    </row>
    <row r="127" spans="1:47" s="29" customFormat="1" ht="17.25" customHeight="1" x14ac:dyDescent="0.4">
      <c r="A127" s="41">
        <v>612</v>
      </c>
      <c r="AU127"/>
    </row>
    <row r="128" spans="1:47" s="29" customFormat="1" ht="17.25" customHeight="1" x14ac:dyDescent="0.4">
      <c r="A128" s="41">
        <v>613</v>
      </c>
      <c r="AU128"/>
    </row>
    <row r="129" spans="1:47" s="29" customFormat="1" ht="17.25" customHeight="1" x14ac:dyDescent="0.4">
      <c r="A129" s="41">
        <v>614</v>
      </c>
      <c r="AU129"/>
    </row>
    <row r="130" spans="1:47" s="29" customFormat="1" ht="17.25" customHeight="1" x14ac:dyDescent="0.4">
      <c r="A130" s="41">
        <v>615</v>
      </c>
      <c r="AU130"/>
    </row>
    <row r="131" spans="1:47" s="29" customFormat="1" ht="17.25" customHeight="1" x14ac:dyDescent="0.4">
      <c r="A131" s="41">
        <v>616</v>
      </c>
      <c r="AU131"/>
    </row>
    <row r="132" spans="1:47" s="11" customFormat="1" ht="17.25" customHeight="1" x14ac:dyDescent="0.4">
      <c r="A132" s="42">
        <v>617</v>
      </c>
      <c r="AU132"/>
    </row>
    <row r="133" spans="1:47" s="11" customFormat="1" ht="17.25" customHeight="1" x14ac:dyDescent="0.4">
      <c r="A133" s="42">
        <v>618</v>
      </c>
      <c r="AU133"/>
    </row>
    <row r="134" spans="1:47" s="11" customFormat="1" ht="17.25" customHeight="1" x14ac:dyDescent="0.4">
      <c r="A134" s="42">
        <v>619</v>
      </c>
      <c r="AU134"/>
    </row>
    <row r="135" spans="1:47" s="11" customFormat="1" ht="17.25" customHeight="1" x14ac:dyDescent="0.4">
      <c r="A135" s="42">
        <v>620</v>
      </c>
      <c r="AU135"/>
    </row>
    <row r="136" spans="1:47" s="11" customFormat="1" ht="17.25" customHeight="1" x14ac:dyDescent="0.4">
      <c r="A136" s="42">
        <v>621</v>
      </c>
      <c r="AU136"/>
    </row>
    <row r="137" spans="1:47" s="11" customFormat="1" ht="17.25" customHeight="1" x14ac:dyDescent="0.4">
      <c r="A137" s="42">
        <v>622</v>
      </c>
      <c r="AU137"/>
    </row>
    <row r="138" spans="1:47" s="11" customFormat="1" ht="17.25" customHeight="1" x14ac:dyDescent="0.4">
      <c r="A138" s="42">
        <v>623</v>
      </c>
      <c r="AU138"/>
    </row>
    <row r="139" spans="1:47" s="11" customFormat="1" ht="17.25" customHeight="1" x14ac:dyDescent="0.4">
      <c r="A139" s="42">
        <v>624</v>
      </c>
      <c r="AU139"/>
    </row>
    <row r="140" spans="1:47" s="11" customFormat="1" ht="17.25" customHeight="1" x14ac:dyDescent="0.4">
      <c r="A140" s="42">
        <v>625</v>
      </c>
      <c r="AU140"/>
    </row>
    <row r="141" spans="1:47" s="11" customFormat="1" ht="17.25" customHeight="1" x14ac:dyDescent="0.4">
      <c r="A141" s="42">
        <v>626</v>
      </c>
      <c r="AU141"/>
    </row>
    <row r="142" spans="1:47" s="11" customFormat="1" ht="17.25" customHeight="1" x14ac:dyDescent="0.4">
      <c r="A142" s="42">
        <v>627</v>
      </c>
      <c r="AU142"/>
    </row>
    <row r="143" spans="1:47" s="11" customFormat="1" ht="17.25" customHeight="1" x14ac:dyDescent="0.4">
      <c r="A143" s="42">
        <v>628</v>
      </c>
      <c r="AU143"/>
    </row>
    <row r="144" spans="1:47" s="11" customFormat="1" ht="17.25" customHeight="1" x14ac:dyDescent="0.4">
      <c r="A144" s="42">
        <v>629</v>
      </c>
      <c r="AU144"/>
    </row>
    <row r="145" spans="1:47" s="11" customFormat="1" ht="17.25" customHeight="1" x14ac:dyDescent="0.4">
      <c r="A145" s="42">
        <v>630</v>
      </c>
      <c r="AU145"/>
    </row>
    <row r="146" spans="1:47" s="25" customFormat="1" ht="17.25" customHeight="1" x14ac:dyDescent="0.4">
      <c r="AU146"/>
    </row>
    <row r="147" spans="1:47" s="11" customFormat="1" ht="17.25" customHeight="1" x14ac:dyDescent="0.4">
      <c r="A147" s="1" t="s">
        <v>753</v>
      </c>
      <c r="B147" s="23" t="s">
        <v>13</v>
      </c>
      <c r="C147" s="1" t="s">
        <v>248</v>
      </c>
      <c r="D147" s="23"/>
      <c r="AU147"/>
    </row>
    <row r="148" spans="1:47" s="11" customFormat="1" ht="17.25" customHeight="1" x14ac:dyDescent="0.4">
      <c r="A148" s="43">
        <v>701</v>
      </c>
      <c r="B148" s="11" t="s">
        <v>361</v>
      </c>
      <c r="C148" s="8" t="s">
        <v>755</v>
      </c>
      <c r="AU148"/>
    </row>
    <row r="149" spans="1:47" s="11" customFormat="1" ht="17.25" customHeight="1" x14ac:dyDescent="0.4">
      <c r="A149" s="43">
        <v>702</v>
      </c>
      <c r="B149" s="11" t="s">
        <v>215</v>
      </c>
      <c r="C149" s="8"/>
      <c r="AU149"/>
    </row>
    <row r="150" spans="1:47" s="11" customFormat="1" ht="17.25" customHeight="1" x14ac:dyDescent="0.4">
      <c r="A150" s="43">
        <v>703</v>
      </c>
      <c r="B150" s="11" t="s">
        <v>211</v>
      </c>
      <c r="C150" s="8"/>
      <c r="AU150"/>
    </row>
    <row r="151" spans="1:47" s="11" customFormat="1" ht="17.25" customHeight="1" x14ac:dyDescent="0.4">
      <c r="A151" s="43">
        <v>704</v>
      </c>
      <c r="B151" s="11" t="s">
        <v>213</v>
      </c>
      <c r="C151" s="8"/>
      <c r="AU151"/>
    </row>
    <row r="152" spans="1:47" s="11" customFormat="1" ht="17.25" customHeight="1" x14ac:dyDescent="0.4">
      <c r="A152" s="43">
        <v>705</v>
      </c>
      <c r="C152" s="8"/>
      <c r="AU152"/>
    </row>
    <row r="153" spans="1:47" s="11" customFormat="1" ht="17.25" customHeight="1" x14ac:dyDescent="0.4">
      <c r="A153" s="43">
        <v>706</v>
      </c>
      <c r="C153" s="8"/>
      <c r="AU153"/>
    </row>
    <row r="154" spans="1:47" s="11" customFormat="1" ht="17.25" customHeight="1" x14ac:dyDescent="0.4">
      <c r="A154" s="43">
        <v>707</v>
      </c>
      <c r="C154" s="8"/>
      <c r="AU154"/>
    </row>
    <row r="155" spans="1:47" s="11" customFormat="1" ht="17.25" customHeight="1" x14ac:dyDescent="0.4">
      <c r="A155" s="43">
        <v>708</v>
      </c>
      <c r="C155" s="8"/>
      <c r="AU155"/>
    </row>
    <row r="156" spans="1:47" s="11" customFormat="1" ht="17.25" customHeight="1" x14ac:dyDescent="0.4">
      <c r="A156" s="43">
        <v>709</v>
      </c>
      <c r="C156" s="8"/>
      <c r="AU156"/>
    </row>
    <row r="157" spans="1:47" s="11" customFormat="1" ht="17.25" customHeight="1" x14ac:dyDescent="0.4">
      <c r="A157" s="43">
        <v>710</v>
      </c>
      <c r="C157" s="8"/>
      <c r="AU157"/>
    </row>
    <row r="158" spans="1:47" s="25" customFormat="1" ht="17.25" customHeight="1" x14ac:dyDescent="0.4">
      <c r="C158" s="67"/>
      <c r="AU158"/>
    </row>
    <row r="159" spans="1:47" s="11" customFormat="1" ht="17.25" customHeight="1" x14ac:dyDescent="0.4">
      <c r="A159" s="1" t="s">
        <v>409</v>
      </c>
      <c r="B159" s="23" t="s">
        <v>13</v>
      </c>
      <c r="C159" s="1" t="s">
        <v>248</v>
      </c>
      <c r="D159" s="23"/>
      <c r="E159" s="44" t="s">
        <v>403</v>
      </c>
      <c r="AU159"/>
    </row>
    <row r="160" spans="1:47" s="11" customFormat="1" ht="17.25" customHeight="1" x14ac:dyDescent="0.4">
      <c r="A160" s="24">
        <v>801</v>
      </c>
      <c r="B160" s="11" t="s">
        <v>395</v>
      </c>
      <c r="C160" s="11" t="s">
        <v>754</v>
      </c>
      <c r="E160" s="11" t="s">
        <v>404</v>
      </c>
      <c r="AU160"/>
    </row>
    <row r="161" spans="1:47" s="11" customFormat="1" ht="17.25" customHeight="1" x14ac:dyDescent="0.4">
      <c r="A161" s="24">
        <v>802</v>
      </c>
      <c r="B161" s="11" t="s">
        <v>396</v>
      </c>
      <c r="E161" s="11" t="s">
        <v>405</v>
      </c>
      <c r="AU161"/>
    </row>
    <row r="162" spans="1:47" s="11" customFormat="1" ht="17.25" customHeight="1" x14ac:dyDescent="0.4">
      <c r="A162" s="24">
        <v>803</v>
      </c>
      <c r="B162" s="11" t="s">
        <v>397</v>
      </c>
      <c r="E162" s="11" t="s">
        <v>405</v>
      </c>
      <c r="AU162"/>
    </row>
    <row r="163" spans="1:47" s="11" customFormat="1" ht="17.25" customHeight="1" x14ac:dyDescent="0.4">
      <c r="A163" s="24">
        <v>804</v>
      </c>
      <c r="B163" s="11" t="s">
        <v>140</v>
      </c>
      <c r="E163" s="11" t="s">
        <v>406</v>
      </c>
      <c r="AU163"/>
    </row>
    <row r="164" spans="1:47" s="11" customFormat="1" ht="17.25" customHeight="1" x14ac:dyDescent="0.4">
      <c r="A164" s="24">
        <v>805</v>
      </c>
      <c r="B164" s="11" t="s">
        <v>398</v>
      </c>
      <c r="E164" s="11" t="s">
        <v>114</v>
      </c>
      <c r="AU164"/>
    </row>
    <row r="165" spans="1:47" s="11" customFormat="1" ht="17.25" customHeight="1" x14ac:dyDescent="0.4">
      <c r="A165" s="24">
        <v>806</v>
      </c>
      <c r="B165" s="11" t="s">
        <v>399</v>
      </c>
      <c r="E165" s="11" t="s">
        <v>114</v>
      </c>
      <c r="AU165"/>
    </row>
    <row r="166" spans="1:47" s="11" customFormat="1" ht="17.25" customHeight="1" x14ac:dyDescent="0.4">
      <c r="A166" s="24">
        <v>807</v>
      </c>
      <c r="B166" s="11" t="s">
        <v>400</v>
      </c>
      <c r="E166" s="11" t="s">
        <v>405</v>
      </c>
      <c r="AU166"/>
    </row>
    <row r="167" spans="1:47" s="11" customFormat="1" ht="17.25" customHeight="1" x14ac:dyDescent="0.4">
      <c r="A167" s="24">
        <v>808</v>
      </c>
      <c r="B167" s="11" t="s">
        <v>401</v>
      </c>
      <c r="E167" s="11" t="s">
        <v>407</v>
      </c>
      <c r="AU167"/>
    </row>
    <row r="168" spans="1:47" s="11" customFormat="1" ht="17.25" customHeight="1" x14ac:dyDescent="0.4">
      <c r="A168" s="24">
        <v>809</v>
      </c>
      <c r="B168" s="11" t="s">
        <v>402</v>
      </c>
      <c r="E168" s="11" t="s">
        <v>407</v>
      </c>
      <c r="AU168"/>
    </row>
    <row r="169" spans="1:47" s="11" customFormat="1" ht="17.25" customHeight="1" x14ac:dyDescent="0.4">
      <c r="A169" s="24">
        <v>810</v>
      </c>
      <c r="AU169"/>
    </row>
    <row r="170" spans="1:47" x14ac:dyDescent="0.4">
      <c r="A170" s="24">
        <v>811</v>
      </c>
    </row>
    <row r="171" spans="1:47" x14ac:dyDescent="0.4">
      <c r="A171" s="24">
        <v>812</v>
      </c>
    </row>
    <row r="172" spans="1:47" x14ac:dyDescent="0.4">
      <c r="A172" s="24">
        <v>813</v>
      </c>
    </row>
    <row r="173" spans="1:47" x14ac:dyDescent="0.4">
      <c r="A173" s="24">
        <v>814</v>
      </c>
    </row>
    <row r="174" spans="1:47" x14ac:dyDescent="0.4">
      <c r="A174" s="24">
        <v>815</v>
      </c>
    </row>
  </sheetData>
  <phoneticPr fontId="3"/>
  <pageMargins left="0.7" right="0.7" top="0.75" bottom="0.75" header="0.3" footer="0.3"/>
  <pageSetup paperSize="8"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A92B0-6239-4142-A74E-886F6AE3DA40}">
  <sheetPr>
    <pageSetUpPr fitToPage="1"/>
  </sheetPr>
  <dimension ref="A1:K31"/>
  <sheetViews>
    <sheetView view="pageBreakPreview" zoomScaleNormal="100" zoomScaleSheetLayoutView="100" workbookViewId="0"/>
  </sheetViews>
  <sheetFormatPr defaultRowHeight="15.75" x14ac:dyDescent="0.4"/>
  <cols>
    <col min="1" max="1" width="22.75" style="72" bestFit="1" customWidth="1"/>
    <col min="2" max="2" width="14.625" style="72" bestFit="1" customWidth="1"/>
    <col min="3" max="6" width="11.25" style="72" bestFit="1" customWidth="1"/>
    <col min="7" max="7" width="5.5" style="72" customWidth="1"/>
    <col min="8" max="8" width="11.5" style="72" customWidth="1"/>
    <col min="9" max="9" width="27.375" style="72" customWidth="1"/>
    <col min="10" max="11" width="17.875" style="72" customWidth="1"/>
    <col min="12" max="16384" width="9" style="72"/>
  </cols>
  <sheetData>
    <row r="1" spans="1:11" ht="28.5" x14ac:dyDescent="0.4">
      <c r="A1" s="15" t="s">
        <v>540</v>
      </c>
      <c r="H1" s="16"/>
      <c r="I1" s="359"/>
      <c r="J1" s="360"/>
      <c r="K1" s="337"/>
    </row>
    <row r="2" spans="1:11" x14ac:dyDescent="0.4">
      <c r="H2" s="361"/>
      <c r="I2" s="362"/>
      <c r="J2" s="363"/>
      <c r="K2" s="361"/>
    </row>
    <row r="3" spans="1:11" x14ac:dyDescent="0.4">
      <c r="A3" s="447" t="s">
        <v>450</v>
      </c>
      <c r="B3" s="447" t="s">
        <v>446</v>
      </c>
      <c r="C3" s="447"/>
      <c r="D3" s="447"/>
      <c r="E3" s="447"/>
      <c r="F3" s="447"/>
      <c r="H3" s="364" t="s">
        <v>437</v>
      </c>
      <c r="I3" s="365" t="s">
        <v>373</v>
      </c>
      <c r="J3" s="366" t="s">
        <v>438</v>
      </c>
      <c r="K3" s="367" t="s">
        <v>439</v>
      </c>
    </row>
    <row r="4" spans="1:11" x14ac:dyDescent="0.4">
      <c r="A4" s="448" t="s">
        <v>366</v>
      </c>
      <c r="B4" s="448" t="s">
        <v>448</v>
      </c>
      <c r="C4" s="368" t="s">
        <v>447</v>
      </c>
      <c r="D4" s="368" t="s">
        <v>441</v>
      </c>
      <c r="E4" s="368" t="s">
        <v>443</v>
      </c>
      <c r="F4" s="448" t="s">
        <v>356</v>
      </c>
      <c r="H4" s="369">
        <v>201</v>
      </c>
      <c r="I4" s="370" t="str">
        <f t="shared" ref="I4:I31" si="0">VLOOKUP(H4,id_list,2,FALSE)</f>
        <v>コアプラス池袋</v>
      </c>
      <c r="J4" s="371" t="s">
        <v>440</v>
      </c>
      <c r="K4" s="372">
        <v>20000</v>
      </c>
    </row>
    <row r="5" spans="1:11" ht="20.100000000000001" customHeight="1" x14ac:dyDescent="0.4">
      <c r="A5" s="442" t="s">
        <v>57</v>
      </c>
      <c r="B5" s="444">
        <v>30000</v>
      </c>
      <c r="C5" s="444">
        <v>20000</v>
      </c>
      <c r="D5" s="444"/>
      <c r="E5" s="444"/>
      <c r="F5" s="444">
        <v>50000</v>
      </c>
      <c r="H5" s="373">
        <v>201</v>
      </c>
      <c r="I5" s="374" t="str">
        <f t="shared" si="0"/>
        <v>コアプラス池袋</v>
      </c>
      <c r="J5" s="375" t="s">
        <v>449</v>
      </c>
      <c r="K5" s="376">
        <v>30000</v>
      </c>
    </row>
    <row r="6" spans="1:11" ht="20.100000000000001" customHeight="1" x14ac:dyDescent="0.4">
      <c r="A6" s="300" t="s">
        <v>59</v>
      </c>
      <c r="B6" s="444">
        <v>30000</v>
      </c>
      <c r="C6" s="444">
        <v>20000</v>
      </c>
      <c r="D6" s="444"/>
      <c r="E6" s="444"/>
      <c r="F6" s="444">
        <v>50000</v>
      </c>
      <c r="H6" s="369">
        <v>202</v>
      </c>
      <c r="I6" s="370" t="str">
        <f t="shared" si="0"/>
        <v>大東京建託アパート池袋</v>
      </c>
      <c r="J6" s="371" t="s">
        <v>440</v>
      </c>
      <c r="K6" s="372">
        <v>20000</v>
      </c>
    </row>
    <row r="7" spans="1:11" ht="20.100000000000001" customHeight="1" x14ac:dyDescent="0.4">
      <c r="A7" s="300" t="s">
        <v>20</v>
      </c>
      <c r="B7" s="444"/>
      <c r="C7" s="444"/>
      <c r="D7" s="444">
        <v>20000</v>
      </c>
      <c r="E7" s="444">
        <v>30000</v>
      </c>
      <c r="F7" s="444">
        <v>50000</v>
      </c>
      <c r="H7" s="373">
        <v>202</v>
      </c>
      <c r="I7" s="374" t="str">
        <f t="shared" si="0"/>
        <v>大東京建託アパート池袋</v>
      </c>
      <c r="J7" s="375" t="s">
        <v>449</v>
      </c>
      <c r="K7" s="376">
        <v>30000</v>
      </c>
    </row>
    <row r="8" spans="1:11" ht="20.100000000000001" customHeight="1" x14ac:dyDescent="0.4">
      <c r="A8" s="300" t="s">
        <v>22</v>
      </c>
      <c r="B8" s="444"/>
      <c r="C8" s="444"/>
      <c r="D8" s="444">
        <v>20000</v>
      </c>
      <c r="E8" s="444">
        <v>30000</v>
      </c>
      <c r="F8" s="444">
        <v>50000</v>
      </c>
      <c r="H8" s="377">
        <v>203</v>
      </c>
      <c r="I8" s="370" t="str">
        <f t="shared" si="0"/>
        <v>大東京建託アパート目白</v>
      </c>
      <c r="J8" s="371" t="s">
        <v>440</v>
      </c>
      <c r="K8" s="372">
        <v>20000</v>
      </c>
    </row>
    <row r="9" spans="1:11" ht="20.100000000000001" customHeight="1" x14ac:dyDescent="0.4">
      <c r="A9" s="300" t="s">
        <v>18</v>
      </c>
      <c r="B9" s="444">
        <v>30000</v>
      </c>
      <c r="C9" s="444">
        <v>20000</v>
      </c>
      <c r="D9" s="444"/>
      <c r="E9" s="444"/>
      <c r="F9" s="444">
        <v>50000</v>
      </c>
      <c r="H9" s="373">
        <v>203</v>
      </c>
      <c r="I9" s="374" t="str">
        <f t="shared" si="0"/>
        <v>大東京建託アパート目白</v>
      </c>
      <c r="J9" s="375" t="s">
        <v>449</v>
      </c>
      <c r="K9" s="376">
        <v>30000</v>
      </c>
    </row>
    <row r="10" spans="1:11" ht="20.100000000000001" customHeight="1" x14ac:dyDescent="0.4">
      <c r="A10" s="300" t="s">
        <v>16</v>
      </c>
      <c r="B10" s="444">
        <v>30000</v>
      </c>
      <c r="C10" s="444">
        <v>20000</v>
      </c>
      <c r="D10" s="444"/>
      <c r="E10" s="444"/>
      <c r="F10" s="444">
        <v>50000</v>
      </c>
      <c r="H10" s="369">
        <v>204</v>
      </c>
      <c r="I10" s="370" t="str">
        <f t="shared" si="0"/>
        <v>かぼちゃレジデンス池袋</v>
      </c>
      <c r="J10" s="371" t="s">
        <v>440</v>
      </c>
      <c r="K10" s="372">
        <v>20000</v>
      </c>
    </row>
    <row r="11" spans="1:11" ht="20.100000000000001" customHeight="1" x14ac:dyDescent="0.4">
      <c r="A11" s="300" t="s">
        <v>14</v>
      </c>
      <c r="B11" s="444">
        <v>30000</v>
      </c>
      <c r="C11" s="444">
        <v>20000</v>
      </c>
      <c r="D11" s="444"/>
      <c r="E11" s="444"/>
      <c r="F11" s="444">
        <v>50000</v>
      </c>
      <c r="H11" s="373">
        <v>204</v>
      </c>
      <c r="I11" s="374" t="str">
        <f t="shared" si="0"/>
        <v>かぼちゃレジデンス池袋</v>
      </c>
      <c r="J11" s="375" t="s">
        <v>449</v>
      </c>
      <c r="K11" s="376">
        <v>30000</v>
      </c>
    </row>
    <row r="12" spans="1:11" ht="20.100000000000001" customHeight="1" x14ac:dyDescent="0.4">
      <c r="A12" s="300" t="s">
        <v>230</v>
      </c>
      <c r="B12" s="444"/>
      <c r="C12" s="444"/>
      <c r="D12" s="444">
        <v>20000</v>
      </c>
      <c r="E12" s="444">
        <v>30000</v>
      </c>
      <c r="F12" s="444">
        <v>50000</v>
      </c>
      <c r="H12" s="369">
        <v>205</v>
      </c>
      <c r="I12" s="370" t="str">
        <f t="shared" si="0"/>
        <v>かぼちゃレジデンス五反田</v>
      </c>
      <c r="J12" s="371" t="s">
        <v>440</v>
      </c>
      <c r="K12" s="372">
        <v>20000</v>
      </c>
    </row>
    <row r="13" spans="1:11" ht="20.100000000000001" customHeight="1" x14ac:dyDescent="0.4">
      <c r="A13" s="300" t="s">
        <v>228</v>
      </c>
      <c r="B13" s="444"/>
      <c r="C13" s="444"/>
      <c r="D13" s="444">
        <v>20000</v>
      </c>
      <c r="E13" s="444">
        <v>30000</v>
      </c>
      <c r="F13" s="444">
        <v>50000</v>
      </c>
      <c r="H13" s="373">
        <v>205</v>
      </c>
      <c r="I13" s="374" t="str">
        <f t="shared" si="0"/>
        <v>かぼちゃレジデンス五反田</v>
      </c>
      <c r="J13" s="375" t="s">
        <v>449</v>
      </c>
      <c r="K13" s="376">
        <v>30000</v>
      </c>
    </row>
    <row r="14" spans="1:11" ht="20.100000000000001" customHeight="1" x14ac:dyDescent="0.4">
      <c r="A14" s="300" t="s">
        <v>226</v>
      </c>
      <c r="B14" s="444"/>
      <c r="C14" s="444"/>
      <c r="D14" s="444">
        <v>20000</v>
      </c>
      <c r="E14" s="444">
        <v>30000</v>
      </c>
      <c r="F14" s="444">
        <v>50000</v>
      </c>
      <c r="H14" s="369">
        <v>206</v>
      </c>
      <c r="I14" s="370" t="str">
        <f t="shared" si="0"/>
        <v>オープンマンション高田馬場</v>
      </c>
      <c r="J14" s="371" t="s">
        <v>440</v>
      </c>
      <c r="K14" s="372">
        <v>20000</v>
      </c>
    </row>
    <row r="15" spans="1:11" ht="20.100000000000001" customHeight="1" x14ac:dyDescent="0.4">
      <c r="A15" s="300" t="s">
        <v>55</v>
      </c>
      <c r="B15" s="444">
        <v>30000</v>
      </c>
      <c r="C15" s="444">
        <v>20000</v>
      </c>
      <c r="D15" s="444"/>
      <c r="E15" s="444"/>
      <c r="F15" s="444">
        <v>50000</v>
      </c>
      <c r="H15" s="373">
        <v>206</v>
      </c>
      <c r="I15" s="374" t="str">
        <f t="shared" si="0"/>
        <v>オープンマンション高田馬場</v>
      </c>
      <c r="J15" s="375" t="s">
        <v>449</v>
      </c>
      <c r="K15" s="376">
        <v>30000</v>
      </c>
    </row>
    <row r="16" spans="1:11" ht="20.100000000000001" customHeight="1" x14ac:dyDescent="0.4">
      <c r="A16" s="300" t="s">
        <v>342</v>
      </c>
      <c r="B16" s="444"/>
      <c r="C16" s="444"/>
      <c r="D16" s="444">
        <v>20000</v>
      </c>
      <c r="E16" s="444">
        <v>30000</v>
      </c>
      <c r="F16" s="444">
        <v>50000</v>
      </c>
      <c r="H16" s="369">
        <v>207</v>
      </c>
      <c r="I16" s="370" t="str">
        <f t="shared" si="0"/>
        <v>無限レジデンス大塚</v>
      </c>
      <c r="J16" s="371" t="s">
        <v>440</v>
      </c>
      <c r="K16" s="372">
        <v>20000</v>
      </c>
    </row>
    <row r="17" spans="1:11" ht="20.100000000000001" customHeight="1" x14ac:dyDescent="0.4">
      <c r="A17" s="300" t="s">
        <v>536</v>
      </c>
      <c r="B17" s="444">
        <v>30000</v>
      </c>
      <c r="C17" s="444">
        <v>20000</v>
      </c>
      <c r="D17" s="444"/>
      <c r="E17" s="444"/>
      <c r="F17" s="444">
        <v>50000</v>
      </c>
      <c r="H17" s="373">
        <v>207</v>
      </c>
      <c r="I17" s="374" t="str">
        <f t="shared" si="0"/>
        <v>無限レジデンス大塚</v>
      </c>
      <c r="J17" s="375" t="s">
        <v>449</v>
      </c>
      <c r="K17" s="376">
        <v>30000</v>
      </c>
    </row>
    <row r="18" spans="1:11" ht="20.100000000000001" customHeight="1" x14ac:dyDescent="0.4">
      <c r="A18" s="300" t="s">
        <v>538</v>
      </c>
      <c r="B18" s="444">
        <v>30000</v>
      </c>
      <c r="C18" s="444">
        <v>20000</v>
      </c>
      <c r="D18" s="444"/>
      <c r="E18" s="444"/>
      <c r="F18" s="444">
        <v>50000</v>
      </c>
      <c r="H18" s="369">
        <v>208</v>
      </c>
      <c r="I18" s="370" t="str">
        <f t="shared" si="0"/>
        <v>ＡＤレジデンス池袋</v>
      </c>
      <c r="J18" s="371" t="s">
        <v>440</v>
      </c>
      <c r="K18" s="372">
        <v>20000</v>
      </c>
    </row>
    <row r="19" spans="1:11" ht="20.100000000000001" customHeight="1" x14ac:dyDescent="0.4">
      <c r="A19" s="442" t="s">
        <v>356</v>
      </c>
      <c r="B19" s="444">
        <v>240000</v>
      </c>
      <c r="C19" s="444">
        <v>160000</v>
      </c>
      <c r="D19" s="444">
        <v>120000</v>
      </c>
      <c r="E19" s="444">
        <v>180000</v>
      </c>
      <c r="F19" s="444">
        <v>700000</v>
      </c>
      <c r="H19" s="373">
        <v>208</v>
      </c>
      <c r="I19" s="374" t="str">
        <f t="shared" si="0"/>
        <v>ＡＤレジデンス池袋</v>
      </c>
      <c r="J19" s="375" t="s">
        <v>449</v>
      </c>
      <c r="K19" s="376">
        <v>30000</v>
      </c>
    </row>
    <row r="20" spans="1:11" ht="20.100000000000001" customHeight="1" x14ac:dyDescent="0.4">
      <c r="H20" s="369">
        <v>301</v>
      </c>
      <c r="I20" s="370" t="str">
        <f t="shared" si="0"/>
        <v>かぼちゃタワー101</v>
      </c>
      <c r="J20" s="371" t="s">
        <v>442</v>
      </c>
      <c r="K20" s="372">
        <v>20000</v>
      </c>
    </row>
    <row r="21" spans="1:11" ht="20.100000000000001" customHeight="1" x14ac:dyDescent="0.4">
      <c r="H21" s="373">
        <v>301</v>
      </c>
      <c r="I21" s="374" t="str">
        <f t="shared" si="0"/>
        <v>かぼちゃタワー101</v>
      </c>
      <c r="J21" s="375" t="s">
        <v>444</v>
      </c>
      <c r="K21" s="376">
        <v>30000</v>
      </c>
    </row>
    <row r="22" spans="1:11" ht="20.100000000000001" customHeight="1" x14ac:dyDescent="0.4">
      <c r="H22" s="369">
        <v>302</v>
      </c>
      <c r="I22" s="370" t="str">
        <f t="shared" si="0"/>
        <v>かぼちゃタワー102</v>
      </c>
      <c r="J22" s="371" t="s">
        <v>442</v>
      </c>
      <c r="K22" s="372">
        <v>20000</v>
      </c>
    </row>
    <row r="23" spans="1:11" ht="20.100000000000001" customHeight="1" x14ac:dyDescent="0.4">
      <c r="H23" s="373">
        <v>302</v>
      </c>
      <c r="I23" s="374" t="str">
        <f t="shared" si="0"/>
        <v>かぼちゃタワー102</v>
      </c>
      <c r="J23" s="375" t="s">
        <v>444</v>
      </c>
      <c r="K23" s="376">
        <v>30000</v>
      </c>
    </row>
    <row r="24" spans="1:11" ht="20.100000000000001" customHeight="1" x14ac:dyDescent="0.4">
      <c r="H24" s="369">
        <v>303</v>
      </c>
      <c r="I24" s="370" t="str">
        <f t="shared" si="0"/>
        <v>ブリリア目白201</v>
      </c>
      <c r="J24" s="371" t="s">
        <v>442</v>
      </c>
      <c r="K24" s="372">
        <v>20000</v>
      </c>
    </row>
    <row r="25" spans="1:11" ht="20.100000000000001" customHeight="1" x14ac:dyDescent="0.4">
      <c r="H25" s="373">
        <v>303</v>
      </c>
      <c r="I25" s="374" t="str">
        <f t="shared" si="0"/>
        <v>ブリリア目白201</v>
      </c>
      <c r="J25" s="375" t="s">
        <v>444</v>
      </c>
      <c r="K25" s="376">
        <v>30000</v>
      </c>
    </row>
    <row r="26" spans="1:11" ht="20.100000000000001" customHeight="1" x14ac:dyDescent="0.4">
      <c r="H26" s="369">
        <v>304</v>
      </c>
      <c r="I26" s="370" t="str">
        <f t="shared" si="0"/>
        <v>プラウド目白202</v>
      </c>
      <c r="J26" s="371" t="s">
        <v>442</v>
      </c>
      <c r="K26" s="372">
        <v>20000</v>
      </c>
    </row>
    <row r="27" spans="1:11" ht="20.100000000000001" customHeight="1" x14ac:dyDescent="0.4">
      <c r="H27" s="373">
        <v>304</v>
      </c>
      <c r="I27" s="374" t="str">
        <f t="shared" si="0"/>
        <v>プラウド目白202</v>
      </c>
      <c r="J27" s="375" t="s">
        <v>444</v>
      </c>
      <c r="K27" s="376">
        <v>30000</v>
      </c>
    </row>
    <row r="28" spans="1:11" ht="20.100000000000001" customHeight="1" x14ac:dyDescent="0.4">
      <c r="H28" s="369">
        <v>305</v>
      </c>
      <c r="I28" s="370" t="str">
        <f t="shared" si="0"/>
        <v>パークホームズ目白203</v>
      </c>
      <c r="J28" s="371" t="s">
        <v>442</v>
      </c>
      <c r="K28" s="372">
        <v>20000</v>
      </c>
    </row>
    <row r="29" spans="1:11" ht="20.100000000000001" customHeight="1" x14ac:dyDescent="0.4">
      <c r="H29" s="373">
        <v>305</v>
      </c>
      <c r="I29" s="374" t="str">
        <f t="shared" si="0"/>
        <v>パークホームズ目白203</v>
      </c>
      <c r="J29" s="375" t="s">
        <v>444</v>
      </c>
      <c r="K29" s="376">
        <v>30000</v>
      </c>
    </row>
    <row r="30" spans="1:11" ht="20.100000000000001" customHeight="1" x14ac:dyDescent="0.4">
      <c r="H30" s="369">
        <v>306</v>
      </c>
      <c r="I30" s="370" t="str">
        <f t="shared" si="0"/>
        <v>六本木ヒルズB棟3099</v>
      </c>
      <c r="J30" s="371" t="s">
        <v>442</v>
      </c>
      <c r="K30" s="372">
        <v>20000</v>
      </c>
    </row>
    <row r="31" spans="1:11" ht="20.100000000000001" customHeight="1" x14ac:dyDescent="0.4">
      <c r="H31" s="373">
        <v>306</v>
      </c>
      <c r="I31" s="374" t="str">
        <f t="shared" si="0"/>
        <v>六本木ヒルズB棟3099</v>
      </c>
      <c r="J31" s="375" t="s">
        <v>444</v>
      </c>
      <c r="K31" s="376">
        <v>30000</v>
      </c>
    </row>
  </sheetData>
  <phoneticPr fontId="3"/>
  <pageMargins left="0.70866141732283461" right="0.70866141732283461" top="0.74803149606299213" bottom="0.74803149606299213" header="0.31496062992125984" footer="0.31496062992125984"/>
  <pageSetup paperSize="8" orientation="landscape" r:id="rId2"/>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DCF08-8494-449C-8761-28EC7174431C}">
  <sheetPr>
    <pageSetUpPr fitToPage="1"/>
  </sheetPr>
  <dimension ref="A1:AB38"/>
  <sheetViews>
    <sheetView view="pageBreakPreview" zoomScaleNormal="100" zoomScaleSheetLayoutView="100" workbookViewId="0"/>
  </sheetViews>
  <sheetFormatPr defaultRowHeight="15.75" x14ac:dyDescent="0.4"/>
  <cols>
    <col min="1" max="2" width="10.875" style="72" customWidth="1"/>
    <col min="3" max="3" width="29.75" style="72" customWidth="1"/>
    <col min="4" max="5" width="10.875" style="72" customWidth="1"/>
    <col min="6" max="6" width="18.375" style="72" bestFit="1" customWidth="1"/>
    <col min="7" max="7" width="10.875" style="72" customWidth="1"/>
    <col min="8" max="8" width="19.875" style="72" customWidth="1"/>
    <col min="9" max="10" width="10.875" style="72" customWidth="1"/>
    <col min="11" max="11" width="22.125" style="72" customWidth="1"/>
    <col min="12" max="13" width="17.25" style="72" customWidth="1"/>
    <col min="14" max="25" width="14.25" style="72" customWidth="1"/>
    <col min="26" max="26" width="14.25" style="358" customWidth="1"/>
    <col min="27" max="16384" width="9" style="72"/>
  </cols>
  <sheetData>
    <row r="1" spans="1:28" ht="28.5" x14ac:dyDescent="0.4">
      <c r="A1" s="15" t="s">
        <v>452</v>
      </c>
      <c r="B1" s="337"/>
      <c r="C1" s="359"/>
      <c r="D1" s="337"/>
      <c r="E1" s="337"/>
      <c r="F1" s="337"/>
      <c r="G1" s="378"/>
      <c r="H1" s="379"/>
      <c r="I1" s="335"/>
      <c r="J1" s="335"/>
      <c r="K1" s="380"/>
      <c r="L1" s="380"/>
      <c r="M1" s="381"/>
      <c r="N1" s="380"/>
      <c r="O1" s="380"/>
      <c r="P1" s="382"/>
      <c r="Q1" s="382"/>
      <c r="R1" s="379"/>
      <c r="S1" s="382"/>
      <c r="T1" s="382"/>
      <c r="U1" s="382"/>
      <c r="V1" s="382"/>
      <c r="W1" s="382"/>
      <c r="X1" s="382"/>
      <c r="Y1" s="382"/>
      <c r="Z1" s="383"/>
    </row>
    <row r="2" spans="1:28" ht="29.25" customHeight="1" x14ac:dyDescent="0.4">
      <c r="A2" s="384" t="s">
        <v>453</v>
      </c>
      <c r="B2" s="384" t="s">
        <v>437</v>
      </c>
      <c r="C2" s="385" t="s">
        <v>373</v>
      </c>
      <c r="D2" s="386" t="s">
        <v>451</v>
      </c>
      <c r="E2" s="386" t="s">
        <v>472</v>
      </c>
      <c r="F2" s="386" t="s">
        <v>454</v>
      </c>
      <c r="G2" s="387" t="s">
        <v>455</v>
      </c>
      <c r="H2" s="388" t="s">
        <v>456</v>
      </c>
      <c r="I2" s="389" t="s">
        <v>482</v>
      </c>
      <c r="J2" s="389" t="s">
        <v>483</v>
      </c>
      <c r="K2" s="390" t="s">
        <v>481</v>
      </c>
      <c r="L2" s="390" t="s">
        <v>457</v>
      </c>
      <c r="M2" s="390" t="s">
        <v>458</v>
      </c>
      <c r="N2" s="391" t="s">
        <v>459</v>
      </c>
      <c r="O2" s="392" t="s">
        <v>460</v>
      </c>
      <c r="P2" s="391" t="s">
        <v>461</v>
      </c>
      <c r="Q2" s="391" t="s">
        <v>462</v>
      </c>
      <c r="R2" s="393" t="s">
        <v>463</v>
      </c>
      <c r="S2" s="394" t="s">
        <v>464</v>
      </c>
      <c r="T2" s="394" t="s">
        <v>465</v>
      </c>
      <c r="U2" s="394" t="s">
        <v>466</v>
      </c>
      <c r="V2" s="391" t="s">
        <v>467</v>
      </c>
      <c r="W2" s="392" t="s">
        <v>468</v>
      </c>
      <c r="X2" s="391" t="s">
        <v>469</v>
      </c>
      <c r="Y2" s="391" t="s">
        <v>470</v>
      </c>
      <c r="Z2" s="395" t="s">
        <v>471</v>
      </c>
    </row>
    <row r="3" spans="1:28" ht="20.100000000000001" customHeight="1" x14ac:dyDescent="0.4">
      <c r="A3" s="337">
        <v>1</v>
      </c>
      <c r="B3" s="337">
        <v>201</v>
      </c>
      <c r="C3" s="359" t="str">
        <f t="shared" ref="C3:C32" si="0">VLOOKUP(B3,id_list,2,FALSE)</f>
        <v>コアプラス池袋</v>
      </c>
      <c r="D3" s="337" t="s">
        <v>475</v>
      </c>
      <c r="E3" s="72" t="s">
        <v>473</v>
      </c>
      <c r="F3" s="72" t="s">
        <v>476</v>
      </c>
      <c r="H3" s="334">
        <v>123.11</v>
      </c>
      <c r="I3" s="378" t="s">
        <v>480</v>
      </c>
      <c r="J3" s="379" t="s">
        <v>480</v>
      </c>
      <c r="K3" s="380">
        <v>10000000</v>
      </c>
      <c r="L3" s="380">
        <v>50000</v>
      </c>
      <c r="M3" s="380">
        <v>10000</v>
      </c>
      <c r="N3" s="380">
        <v>10000000</v>
      </c>
      <c r="O3" s="380">
        <v>7000000</v>
      </c>
      <c r="P3" s="380">
        <v>50000</v>
      </c>
      <c r="Q3" s="380">
        <v>10000</v>
      </c>
      <c r="R3" s="380">
        <v>10000000</v>
      </c>
      <c r="S3" s="380">
        <v>7000000</v>
      </c>
      <c r="T3" s="380">
        <v>50000</v>
      </c>
      <c r="U3" s="380">
        <v>10000</v>
      </c>
      <c r="V3" s="380">
        <v>10000000</v>
      </c>
      <c r="W3" s="380">
        <v>7000000</v>
      </c>
      <c r="X3" s="380">
        <v>50000</v>
      </c>
      <c r="Y3" s="380">
        <v>10000</v>
      </c>
      <c r="Z3" s="335">
        <v>1</v>
      </c>
      <c r="AA3" s="382"/>
      <c r="AB3" s="396"/>
    </row>
    <row r="4" spans="1:28" ht="20.100000000000001" customHeight="1" x14ac:dyDescent="0.4">
      <c r="A4" s="337">
        <v>2</v>
      </c>
      <c r="B4" s="337">
        <v>201</v>
      </c>
      <c r="C4" s="359" t="str">
        <f t="shared" si="0"/>
        <v>コアプラス池袋</v>
      </c>
      <c r="D4" s="337" t="s">
        <v>475</v>
      </c>
      <c r="E4" s="72" t="s">
        <v>473</v>
      </c>
      <c r="F4" s="72" t="s">
        <v>476</v>
      </c>
      <c r="H4" s="334">
        <v>20</v>
      </c>
      <c r="I4" s="378" t="s">
        <v>480</v>
      </c>
      <c r="J4" s="379" t="s">
        <v>480</v>
      </c>
      <c r="K4" s="380">
        <v>1000000</v>
      </c>
      <c r="L4" s="380">
        <v>1000</v>
      </c>
      <c r="M4" s="380">
        <v>1000</v>
      </c>
      <c r="N4" s="380">
        <v>1000000</v>
      </c>
      <c r="O4" s="380">
        <v>700000</v>
      </c>
      <c r="P4" s="380">
        <v>1000</v>
      </c>
      <c r="Q4" s="380">
        <v>1000</v>
      </c>
      <c r="R4" s="380">
        <v>1000000</v>
      </c>
      <c r="S4" s="380">
        <v>700000</v>
      </c>
      <c r="T4" s="380">
        <v>1000</v>
      </c>
      <c r="U4" s="380">
        <v>1000</v>
      </c>
      <c r="V4" s="380">
        <v>1000000</v>
      </c>
      <c r="W4" s="380">
        <v>700000</v>
      </c>
      <c r="X4" s="380">
        <v>1000</v>
      </c>
      <c r="Y4" s="380">
        <v>1000</v>
      </c>
      <c r="Z4" s="335">
        <v>1</v>
      </c>
      <c r="AA4" s="382"/>
      <c r="AB4" s="396"/>
    </row>
    <row r="5" spans="1:28" ht="20.100000000000001" customHeight="1" x14ac:dyDescent="0.4">
      <c r="A5" s="337">
        <v>3</v>
      </c>
      <c r="B5" s="337">
        <v>201</v>
      </c>
      <c r="C5" s="359" t="str">
        <f t="shared" si="0"/>
        <v>コアプラス池袋</v>
      </c>
      <c r="D5" s="337" t="s">
        <v>475</v>
      </c>
      <c r="E5" s="72" t="s">
        <v>473</v>
      </c>
      <c r="F5" s="72" t="s">
        <v>476</v>
      </c>
      <c r="H5" s="334">
        <v>10</v>
      </c>
      <c r="I5" s="378" t="s">
        <v>480</v>
      </c>
      <c r="J5" s="379" t="s">
        <v>480</v>
      </c>
      <c r="K5" s="380">
        <v>1000000</v>
      </c>
      <c r="L5" s="380">
        <v>1000</v>
      </c>
      <c r="M5" s="380">
        <v>1000</v>
      </c>
      <c r="N5" s="380">
        <v>1000000</v>
      </c>
      <c r="O5" s="380">
        <v>700000</v>
      </c>
      <c r="P5" s="380">
        <v>1000</v>
      </c>
      <c r="Q5" s="380">
        <v>1000</v>
      </c>
      <c r="R5" s="380">
        <v>1000000</v>
      </c>
      <c r="S5" s="380">
        <v>700000</v>
      </c>
      <c r="T5" s="380">
        <v>1000</v>
      </c>
      <c r="U5" s="380">
        <v>1000</v>
      </c>
      <c r="V5" s="380">
        <v>1000000</v>
      </c>
      <c r="W5" s="380">
        <v>700000</v>
      </c>
      <c r="X5" s="380">
        <v>1000</v>
      </c>
      <c r="Y5" s="380">
        <v>1000</v>
      </c>
      <c r="Z5" s="335">
        <v>1</v>
      </c>
      <c r="AA5" s="382"/>
      <c r="AB5" s="396"/>
    </row>
    <row r="6" spans="1:28" ht="20.100000000000001" customHeight="1" x14ac:dyDescent="0.4">
      <c r="A6" s="337">
        <v>4</v>
      </c>
      <c r="B6" s="337">
        <v>201</v>
      </c>
      <c r="C6" s="359" t="str">
        <f t="shared" si="0"/>
        <v>コアプラス池袋</v>
      </c>
      <c r="D6" s="337" t="s">
        <v>478</v>
      </c>
      <c r="E6" s="72" t="s">
        <v>62</v>
      </c>
      <c r="F6" s="72" t="s">
        <v>476</v>
      </c>
      <c r="G6" s="72" t="s">
        <v>479</v>
      </c>
      <c r="H6" s="334">
        <v>200</v>
      </c>
      <c r="I6" s="378" t="s">
        <v>480</v>
      </c>
      <c r="J6" s="379" t="s">
        <v>480</v>
      </c>
      <c r="K6" s="380">
        <v>10000000</v>
      </c>
      <c r="L6" s="380">
        <v>50000</v>
      </c>
      <c r="M6" s="380">
        <v>10000</v>
      </c>
      <c r="N6" s="380">
        <v>10000000</v>
      </c>
      <c r="O6" s="380">
        <v>7000000</v>
      </c>
      <c r="P6" s="380">
        <v>50000</v>
      </c>
      <c r="Q6" s="380">
        <v>10000</v>
      </c>
      <c r="R6" s="380">
        <v>10000000</v>
      </c>
      <c r="S6" s="380">
        <v>7000000</v>
      </c>
      <c r="T6" s="380">
        <v>50000</v>
      </c>
      <c r="U6" s="380">
        <v>10000</v>
      </c>
      <c r="V6" s="380">
        <v>10000000</v>
      </c>
      <c r="W6" s="380">
        <v>7000000</v>
      </c>
      <c r="X6" s="380">
        <v>50000</v>
      </c>
      <c r="Y6" s="380">
        <v>10000</v>
      </c>
      <c r="Z6" s="335">
        <v>1</v>
      </c>
      <c r="AA6" s="382"/>
      <c r="AB6" s="396"/>
    </row>
    <row r="7" spans="1:28" ht="20.100000000000001" customHeight="1" x14ac:dyDescent="0.4">
      <c r="A7" s="337">
        <v>5</v>
      </c>
      <c r="B7" s="72">
        <v>202</v>
      </c>
      <c r="C7" s="359" t="str">
        <f t="shared" si="0"/>
        <v>大東京建託アパート池袋</v>
      </c>
      <c r="D7" s="337" t="s">
        <v>475</v>
      </c>
      <c r="E7" s="72" t="s">
        <v>757</v>
      </c>
      <c r="F7" s="72" t="s">
        <v>476</v>
      </c>
      <c r="H7" s="334">
        <v>123</v>
      </c>
      <c r="I7" s="72" t="s">
        <v>480</v>
      </c>
      <c r="J7" s="72" t="s">
        <v>480</v>
      </c>
      <c r="K7" s="380">
        <v>1000000</v>
      </c>
      <c r="L7" s="380">
        <v>1000</v>
      </c>
      <c r="M7" s="380">
        <v>1000</v>
      </c>
      <c r="N7" s="380">
        <v>10000000</v>
      </c>
      <c r="O7" s="380">
        <v>7000000</v>
      </c>
      <c r="P7" s="380">
        <v>50000</v>
      </c>
      <c r="Q7" s="380">
        <v>10000</v>
      </c>
      <c r="R7" s="380">
        <v>10000000</v>
      </c>
      <c r="S7" s="380">
        <v>7000000</v>
      </c>
      <c r="T7" s="380">
        <v>50000</v>
      </c>
      <c r="U7" s="380">
        <v>10000</v>
      </c>
      <c r="V7" s="380">
        <v>10000000</v>
      </c>
      <c r="W7" s="380">
        <v>7000000</v>
      </c>
      <c r="X7" s="380">
        <v>50000</v>
      </c>
      <c r="Y7" s="380">
        <v>10000</v>
      </c>
      <c r="Z7" s="335">
        <v>1</v>
      </c>
    </row>
    <row r="8" spans="1:28" ht="20.100000000000001" customHeight="1" x14ac:dyDescent="0.4">
      <c r="A8" s="337">
        <v>6</v>
      </c>
      <c r="B8" s="337">
        <v>202</v>
      </c>
      <c r="C8" s="359" t="str">
        <f t="shared" si="0"/>
        <v>大東京建託アパート池袋</v>
      </c>
      <c r="D8" s="337" t="s">
        <v>478</v>
      </c>
      <c r="E8" s="72" t="s">
        <v>62</v>
      </c>
      <c r="F8" s="72" t="s">
        <v>476</v>
      </c>
      <c r="G8" s="72" t="s">
        <v>479</v>
      </c>
      <c r="H8" s="334">
        <v>300</v>
      </c>
      <c r="I8" s="72" t="s">
        <v>480</v>
      </c>
      <c r="J8" s="72" t="s">
        <v>480</v>
      </c>
      <c r="K8" s="380">
        <v>10000000</v>
      </c>
      <c r="L8" s="380">
        <v>50000</v>
      </c>
      <c r="M8" s="380">
        <v>10000</v>
      </c>
      <c r="N8" s="380">
        <v>1000000</v>
      </c>
      <c r="O8" s="380">
        <v>700000</v>
      </c>
      <c r="P8" s="380">
        <v>1000</v>
      </c>
      <c r="Q8" s="380">
        <v>1000</v>
      </c>
      <c r="R8" s="380">
        <v>1000000</v>
      </c>
      <c r="S8" s="380">
        <v>700000</v>
      </c>
      <c r="T8" s="380">
        <v>1000</v>
      </c>
      <c r="U8" s="380">
        <v>1000</v>
      </c>
      <c r="V8" s="380">
        <v>1000000</v>
      </c>
      <c r="W8" s="380">
        <v>700000</v>
      </c>
      <c r="X8" s="380">
        <v>1000</v>
      </c>
      <c r="Y8" s="380">
        <v>1000</v>
      </c>
      <c r="Z8" s="335">
        <v>1</v>
      </c>
    </row>
    <row r="9" spans="1:28" ht="20.100000000000001" customHeight="1" x14ac:dyDescent="0.4">
      <c r="A9" s="337">
        <v>7</v>
      </c>
      <c r="B9" s="337">
        <v>203</v>
      </c>
      <c r="C9" s="359" t="str">
        <f t="shared" si="0"/>
        <v>大東京建託アパート目白</v>
      </c>
      <c r="D9" s="337" t="s">
        <v>475</v>
      </c>
      <c r="E9" s="72" t="s">
        <v>757</v>
      </c>
      <c r="F9" s="72" t="s">
        <v>476</v>
      </c>
      <c r="H9" s="334">
        <v>123</v>
      </c>
      <c r="I9" s="72" t="s">
        <v>480</v>
      </c>
      <c r="J9" s="72" t="s">
        <v>480</v>
      </c>
      <c r="K9" s="380">
        <v>1000000</v>
      </c>
      <c r="L9" s="380">
        <v>1000</v>
      </c>
      <c r="M9" s="380">
        <v>1000</v>
      </c>
      <c r="N9" s="380">
        <v>1000000</v>
      </c>
      <c r="O9" s="380">
        <v>700000</v>
      </c>
      <c r="P9" s="380">
        <v>1000</v>
      </c>
      <c r="Q9" s="380">
        <v>1000</v>
      </c>
      <c r="R9" s="380">
        <v>1000000</v>
      </c>
      <c r="S9" s="380">
        <v>700000</v>
      </c>
      <c r="T9" s="380">
        <v>1000</v>
      </c>
      <c r="U9" s="380">
        <v>1000</v>
      </c>
      <c r="V9" s="380">
        <v>1000000</v>
      </c>
      <c r="W9" s="380">
        <v>700000</v>
      </c>
      <c r="X9" s="380">
        <v>1000</v>
      </c>
      <c r="Y9" s="380">
        <v>1000</v>
      </c>
      <c r="Z9" s="335">
        <v>1</v>
      </c>
    </row>
    <row r="10" spans="1:28" ht="20.100000000000001" customHeight="1" x14ac:dyDescent="0.4">
      <c r="A10" s="337">
        <v>8</v>
      </c>
      <c r="B10" s="337">
        <v>203</v>
      </c>
      <c r="C10" s="359" t="str">
        <f t="shared" si="0"/>
        <v>大東京建託アパート目白</v>
      </c>
      <c r="D10" s="337" t="s">
        <v>478</v>
      </c>
      <c r="E10" s="72" t="s">
        <v>62</v>
      </c>
      <c r="F10" s="72" t="s">
        <v>476</v>
      </c>
      <c r="G10" s="72" t="s">
        <v>479</v>
      </c>
      <c r="H10" s="334">
        <v>300</v>
      </c>
      <c r="I10" s="72" t="s">
        <v>480</v>
      </c>
      <c r="J10" s="72" t="s">
        <v>480</v>
      </c>
      <c r="K10" s="380">
        <v>10000000</v>
      </c>
      <c r="L10" s="380">
        <v>50000</v>
      </c>
      <c r="M10" s="380">
        <v>10000</v>
      </c>
      <c r="N10" s="380">
        <v>10000000</v>
      </c>
      <c r="O10" s="380">
        <v>7000000</v>
      </c>
      <c r="P10" s="380">
        <v>50000</v>
      </c>
      <c r="Q10" s="380">
        <v>10000</v>
      </c>
      <c r="R10" s="380">
        <v>10000000</v>
      </c>
      <c r="S10" s="380">
        <v>7000000</v>
      </c>
      <c r="T10" s="380">
        <v>50000</v>
      </c>
      <c r="U10" s="380">
        <v>10000</v>
      </c>
      <c r="V10" s="380">
        <v>10000000</v>
      </c>
      <c r="W10" s="380">
        <v>7000000</v>
      </c>
      <c r="X10" s="380">
        <v>50000</v>
      </c>
      <c r="Y10" s="380">
        <v>10000</v>
      </c>
      <c r="Z10" s="335">
        <v>1</v>
      </c>
    </row>
    <row r="11" spans="1:28" ht="20.100000000000001" customHeight="1" x14ac:dyDescent="0.4">
      <c r="A11" s="337">
        <v>9</v>
      </c>
      <c r="B11" s="337">
        <v>204</v>
      </c>
      <c r="C11" s="359" t="str">
        <f t="shared" si="0"/>
        <v>かぼちゃレジデンス池袋</v>
      </c>
      <c r="D11" s="337" t="s">
        <v>475</v>
      </c>
      <c r="E11" s="72" t="s">
        <v>473</v>
      </c>
      <c r="F11" s="72" t="s">
        <v>476</v>
      </c>
      <c r="H11" s="334">
        <v>123</v>
      </c>
      <c r="I11" s="72" t="s">
        <v>480</v>
      </c>
      <c r="J11" s="72" t="s">
        <v>480</v>
      </c>
      <c r="K11" s="380">
        <v>1000000</v>
      </c>
      <c r="L11" s="380">
        <v>1000</v>
      </c>
      <c r="M11" s="380">
        <v>1000</v>
      </c>
      <c r="N11" s="380">
        <v>10000000</v>
      </c>
      <c r="O11" s="380">
        <v>7000000</v>
      </c>
      <c r="P11" s="380">
        <v>50000</v>
      </c>
      <c r="Q11" s="380">
        <v>10000</v>
      </c>
      <c r="R11" s="380">
        <v>10000000</v>
      </c>
      <c r="S11" s="380">
        <v>7000000</v>
      </c>
      <c r="T11" s="380">
        <v>50000</v>
      </c>
      <c r="U11" s="380">
        <v>10000</v>
      </c>
      <c r="V11" s="380">
        <v>10000000</v>
      </c>
      <c r="W11" s="380">
        <v>7000000</v>
      </c>
      <c r="X11" s="380">
        <v>50000</v>
      </c>
      <c r="Y11" s="380">
        <v>10000</v>
      </c>
      <c r="Z11" s="335">
        <v>1</v>
      </c>
    </row>
    <row r="12" spans="1:28" ht="20.100000000000001" customHeight="1" x14ac:dyDescent="0.4">
      <c r="A12" s="337">
        <v>10</v>
      </c>
      <c r="B12" s="337">
        <v>204</v>
      </c>
      <c r="C12" s="359" t="str">
        <f t="shared" si="0"/>
        <v>かぼちゃレジデンス池袋</v>
      </c>
      <c r="D12" s="337" t="s">
        <v>478</v>
      </c>
      <c r="E12" s="72" t="s">
        <v>62</v>
      </c>
      <c r="F12" s="72" t="s">
        <v>476</v>
      </c>
      <c r="G12" s="72" t="s">
        <v>479</v>
      </c>
      <c r="H12" s="334">
        <v>300</v>
      </c>
      <c r="I12" s="72" t="s">
        <v>480</v>
      </c>
      <c r="J12" s="72" t="s">
        <v>480</v>
      </c>
      <c r="K12" s="380">
        <v>10000000</v>
      </c>
      <c r="L12" s="380">
        <v>50000</v>
      </c>
      <c r="M12" s="380">
        <v>10000</v>
      </c>
      <c r="N12" s="380">
        <v>1000000</v>
      </c>
      <c r="O12" s="380">
        <v>700000</v>
      </c>
      <c r="P12" s="380">
        <v>1000</v>
      </c>
      <c r="Q12" s="380">
        <v>1000</v>
      </c>
      <c r="R12" s="380">
        <v>1000000</v>
      </c>
      <c r="S12" s="380">
        <v>700000</v>
      </c>
      <c r="T12" s="380">
        <v>1000</v>
      </c>
      <c r="U12" s="380">
        <v>1000</v>
      </c>
      <c r="V12" s="380">
        <v>1000000</v>
      </c>
      <c r="W12" s="380">
        <v>700000</v>
      </c>
      <c r="X12" s="380">
        <v>1000</v>
      </c>
      <c r="Y12" s="380">
        <v>1000</v>
      </c>
      <c r="Z12" s="335">
        <v>1</v>
      </c>
    </row>
    <row r="13" spans="1:28" ht="20.100000000000001" customHeight="1" x14ac:dyDescent="0.4">
      <c r="A13" s="337">
        <v>11</v>
      </c>
      <c r="B13" s="337">
        <v>205</v>
      </c>
      <c r="C13" s="359" t="str">
        <f t="shared" si="0"/>
        <v>かぼちゃレジデンス五反田</v>
      </c>
      <c r="D13" s="337" t="s">
        <v>475</v>
      </c>
      <c r="E13" s="72" t="s">
        <v>473</v>
      </c>
      <c r="F13" s="72" t="s">
        <v>476</v>
      </c>
      <c r="H13" s="334">
        <v>123</v>
      </c>
      <c r="I13" s="72" t="s">
        <v>480</v>
      </c>
      <c r="J13" s="72" t="s">
        <v>480</v>
      </c>
      <c r="K13" s="380">
        <v>1000000</v>
      </c>
      <c r="L13" s="380">
        <v>1000</v>
      </c>
      <c r="M13" s="380">
        <v>1000</v>
      </c>
      <c r="N13" s="380">
        <v>1000000</v>
      </c>
      <c r="O13" s="380">
        <v>700000</v>
      </c>
      <c r="P13" s="380">
        <v>1000</v>
      </c>
      <c r="Q13" s="380">
        <v>1000</v>
      </c>
      <c r="R13" s="380">
        <v>1000000</v>
      </c>
      <c r="S13" s="380">
        <v>700000</v>
      </c>
      <c r="T13" s="380">
        <v>1000</v>
      </c>
      <c r="U13" s="380">
        <v>1000</v>
      </c>
      <c r="V13" s="380">
        <v>1000000</v>
      </c>
      <c r="W13" s="380">
        <v>700000</v>
      </c>
      <c r="X13" s="380">
        <v>1000</v>
      </c>
      <c r="Y13" s="380">
        <v>1000</v>
      </c>
      <c r="Z13" s="335">
        <v>1</v>
      </c>
    </row>
    <row r="14" spans="1:28" ht="20.100000000000001" customHeight="1" x14ac:dyDescent="0.4">
      <c r="A14" s="337">
        <v>12</v>
      </c>
      <c r="B14" s="337">
        <v>205</v>
      </c>
      <c r="C14" s="359" t="str">
        <f t="shared" si="0"/>
        <v>かぼちゃレジデンス五反田</v>
      </c>
      <c r="D14" s="337" t="s">
        <v>478</v>
      </c>
      <c r="E14" s="72" t="s">
        <v>62</v>
      </c>
      <c r="F14" s="72" t="s">
        <v>476</v>
      </c>
      <c r="G14" s="72" t="s">
        <v>479</v>
      </c>
      <c r="H14" s="334">
        <v>300</v>
      </c>
      <c r="I14" s="72" t="s">
        <v>480</v>
      </c>
      <c r="J14" s="72" t="s">
        <v>480</v>
      </c>
      <c r="K14" s="380">
        <v>10000000</v>
      </c>
      <c r="L14" s="380">
        <v>50000</v>
      </c>
      <c r="M14" s="380">
        <v>10000</v>
      </c>
      <c r="N14" s="380">
        <v>10000000</v>
      </c>
      <c r="O14" s="380">
        <v>7000000</v>
      </c>
      <c r="P14" s="380">
        <v>50000</v>
      </c>
      <c r="Q14" s="380">
        <v>10000</v>
      </c>
      <c r="R14" s="380">
        <v>10000000</v>
      </c>
      <c r="S14" s="380">
        <v>7000000</v>
      </c>
      <c r="T14" s="380">
        <v>50000</v>
      </c>
      <c r="U14" s="380">
        <v>10000</v>
      </c>
      <c r="V14" s="380">
        <v>10000000</v>
      </c>
      <c r="W14" s="380">
        <v>7000000</v>
      </c>
      <c r="X14" s="380">
        <v>50000</v>
      </c>
      <c r="Y14" s="380">
        <v>10000</v>
      </c>
      <c r="Z14" s="335">
        <v>1</v>
      </c>
    </row>
    <row r="15" spans="1:28" ht="20.100000000000001" customHeight="1" x14ac:dyDescent="0.4">
      <c r="A15" s="337">
        <v>13</v>
      </c>
      <c r="B15" s="337">
        <v>206</v>
      </c>
      <c r="C15" s="359" t="str">
        <f t="shared" si="0"/>
        <v>オープンマンション高田馬場</v>
      </c>
      <c r="D15" s="337" t="s">
        <v>475</v>
      </c>
      <c r="E15" s="72" t="s">
        <v>473</v>
      </c>
      <c r="F15" s="72" t="s">
        <v>476</v>
      </c>
      <c r="H15" s="334">
        <v>123</v>
      </c>
      <c r="I15" s="72" t="s">
        <v>480</v>
      </c>
      <c r="J15" s="72" t="s">
        <v>480</v>
      </c>
      <c r="K15" s="380">
        <v>10000000</v>
      </c>
      <c r="L15" s="380">
        <v>50000</v>
      </c>
      <c r="M15" s="380">
        <v>10000</v>
      </c>
      <c r="N15" s="380">
        <v>10000000</v>
      </c>
      <c r="O15" s="380">
        <v>7000000</v>
      </c>
      <c r="P15" s="380">
        <v>50000</v>
      </c>
      <c r="Q15" s="380">
        <v>10000</v>
      </c>
      <c r="R15" s="380">
        <v>10000000</v>
      </c>
      <c r="S15" s="380">
        <v>7000000</v>
      </c>
      <c r="T15" s="380">
        <v>50000</v>
      </c>
      <c r="U15" s="380">
        <v>10000</v>
      </c>
      <c r="V15" s="380">
        <v>10000000</v>
      </c>
      <c r="W15" s="380">
        <v>7000000</v>
      </c>
      <c r="X15" s="380">
        <v>50000</v>
      </c>
      <c r="Y15" s="380">
        <v>10000</v>
      </c>
      <c r="Z15" s="335">
        <v>1</v>
      </c>
    </row>
    <row r="16" spans="1:28" ht="20.100000000000001" customHeight="1" x14ac:dyDescent="0.4">
      <c r="A16" s="337">
        <v>14</v>
      </c>
      <c r="B16" s="337">
        <v>206</v>
      </c>
      <c r="C16" s="359" t="str">
        <f t="shared" si="0"/>
        <v>オープンマンション高田馬場</v>
      </c>
      <c r="D16" s="337" t="s">
        <v>478</v>
      </c>
      <c r="E16" s="72" t="s">
        <v>62</v>
      </c>
      <c r="F16" s="72" t="s">
        <v>476</v>
      </c>
      <c r="G16" s="72" t="s">
        <v>479</v>
      </c>
      <c r="H16" s="334">
        <v>300</v>
      </c>
      <c r="I16" s="72" t="s">
        <v>480</v>
      </c>
      <c r="J16" s="72" t="s">
        <v>480</v>
      </c>
      <c r="K16" s="380">
        <v>1000000</v>
      </c>
      <c r="L16" s="380">
        <v>1000</v>
      </c>
      <c r="M16" s="380">
        <v>1000</v>
      </c>
      <c r="N16" s="380">
        <v>1000000</v>
      </c>
      <c r="O16" s="380">
        <v>700000</v>
      </c>
      <c r="P16" s="380">
        <v>1000</v>
      </c>
      <c r="Q16" s="380">
        <v>1000</v>
      </c>
      <c r="R16" s="380">
        <v>1000000</v>
      </c>
      <c r="S16" s="380">
        <v>700000</v>
      </c>
      <c r="T16" s="380">
        <v>1000</v>
      </c>
      <c r="U16" s="380">
        <v>1000</v>
      </c>
      <c r="V16" s="380">
        <v>1000000</v>
      </c>
      <c r="W16" s="380">
        <v>700000</v>
      </c>
      <c r="X16" s="380">
        <v>1000</v>
      </c>
      <c r="Y16" s="380">
        <v>1000</v>
      </c>
      <c r="Z16" s="335">
        <v>1</v>
      </c>
    </row>
    <row r="17" spans="1:26" ht="20.100000000000001" customHeight="1" x14ac:dyDescent="0.4">
      <c r="A17" s="337">
        <v>15</v>
      </c>
      <c r="B17" s="337">
        <v>207</v>
      </c>
      <c r="C17" s="359" t="str">
        <f t="shared" si="0"/>
        <v>無限レジデンス大塚</v>
      </c>
      <c r="D17" s="337" t="s">
        <v>475</v>
      </c>
      <c r="E17" s="72" t="s">
        <v>473</v>
      </c>
      <c r="F17" s="72" t="s">
        <v>476</v>
      </c>
      <c r="H17" s="334">
        <v>123</v>
      </c>
      <c r="I17" s="72" t="s">
        <v>480</v>
      </c>
      <c r="J17" s="72" t="s">
        <v>480</v>
      </c>
      <c r="K17" s="380">
        <v>1000000</v>
      </c>
      <c r="L17" s="380">
        <v>1000</v>
      </c>
      <c r="M17" s="380">
        <v>1000</v>
      </c>
      <c r="N17" s="380">
        <v>1000000</v>
      </c>
      <c r="O17" s="380">
        <v>700000</v>
      </c>
      <c r="P17" s="380">
        <v>1000</v>
      </c>
      <c r="Q17" s="380">
        <v>1000</v>
      </c>
      <c r="R17" s="380">
        <v>1000000</v>
      </c>
      <c r="S17" s="380">
        <v>700000</v>
      </c>
      <c r="T17" s="380">
        <v>1000</v>
      </c>
      <c r="U17" s="380">
        <v>1000</v>
      </c>
      <c r="V17" s="380">
        <v>1000000</v>
      </c>
      <c r="W17" s="380">
        <v>700000</v>
      </c>
      <c r="X17" s="380">
        <v>1000</v>
      </c>
      <c r="Y17" s="380">
        <v>1000</v>
      </c>
      <c r="Z17" s="335">
        <v>1</v>
      </c>
    </row>
    <row r="18" spans="1:26" ht="20.100000000000001" customHeight="1" x14ac:dyDescent="0.4">
      <c r="A18" s="337">
        <v>16</v>
      </c>
      <c r="B18" s="337">
        <v>207</v>
      </c>
      <c r="C18" s="359" t="str">
        <f t="shared" si="0"/>
        <v>無限レジデンス大塚</v>
      </c>
      <c r="D18" s="337" t="s">
        <v>478</v>
      </c>
      <c r="E18" s="72" t="s">
        <v>62</v>
      </c>
      <c r="F18" s="72" t="s">
        <v>476</v>
      </c>
      <c r="G18" s="72" t="s">
        <v>479</v>
      </c>
      <c r="H18" s="334">
        <v>300</v>
      </c>
      <c r="I18" s="72" t="s">
        <v>480</v>
      </c>
      <c r="J18" s="72" t="s">
        <v>480</v>
      </c>
      <c r="K18" s="380">
        <v>10000000</v>
      </c>
      <c r="L18" s="380">
        <v>50000</v>
      </c>
      <c r="M18" s="380">
        <v>10000</v>
      </c>
      <c r="N18" s="380">
        <v>10000000</v>
      </c>
      <c r="O18" s="380">
        <v>7000000</v>
      </c>
      <c r="P18" s="380">
        <v>50000</v>
      </c>
      <c r="Q18" s="380">
        <v>10000</v>
      </c>
      <c r="R18" s="380">
        <v>10000000</v>
      </c>
      <c r="S18" s="380">
        <v>7000000</v>
      </c>
      <c r="T18" s="380">
        <v>50000</v>
      </c>
      <c r="U18" s="380">
        <v>10000</v>
      </c>
      <c r="V18" s="380">
        <v>10000000</v>
      </c>
      <c r="W18" s="380">
        <v>7000000</v>
      </c>
      <c r="X18" s="380">
        <v>50000</v>
      </c>
      <c r="Y18" s="380">
        <v>10000</v>
      </c>
      <c r="Z18" s="335">
        <v>1</v>
      </c>
    </row>
    <row r="19" spans="1:26" ht="20.100000000000001" customHeight="1" x14ac:dyDescent="0.4">
      <c r="A19" s="337">
        <v>17</v>
      </c>
      <c r="B19" s="337">
        <v>208</v>
      </c>
      <c r="C19" s="359" t="str">
        <f t="shared" si="0"/>
        <v>ＡＤレジデンス池袋</v>
      </c>
      <c r="D19" s="337" t="s">
        <v>475</v>
      </c>
      <c r="E19" s="72" t="s">
        <v>473</v>
      </c>
      <c r="F19" s="72" t="s">
        <v>476</v>
      </c>
      <c r="H19" s="334">
        <v>123</v>
      </c>
      <c r="I19" s="72" t="s">
        <v>480</v>
      </c>
      <c r="J19" s="72" t="s">
        <v>480</v>
      </c>
      <c r="K19" s="380">
        <v>1000000</v>
      </c>
      <c r="L19" s="380">
        <v>1000</v>
      </c>
      <c r="M19" s="380">
        <v>1000</v>
      </c>
      <c r="N19" s="380">
        <v>10000000</v>
      </c>
      <c r="O19" s="380">
        <v>7000000</v>
      </c>
      <c r="P19" s="380">
        <v>50000</v>
      </c>
      <c r="Q19" s="380">
        <v>10000</v>
      </c>
      <c r="R19" s="380">
        <v>10000000</v>
      </c>
      <c r="S19" s="380">
        <v>7000000</v>
      </c>
      <c r="T19" s="380">
        <v>50000</v>
      </c>
      <c r="U19" s="380">
        <v>10000</v>
      </c>
      <c r="V19" s="380">
        <v>10000000</v>
      </c>
      <c r="W19" s="380">
        <v>7000000</v>
      </c>
      <c r="X19" s="380">
        <v>50000</v>
      </c>
      <c r="Y19" s="380">
        <v>10000</v>
      </c>
      <c r="Z19" s="335">
        <v>1</v>
      </c>
    </row>
    <row r="20" spans="1:26" ht="20.100000000000001" customHeight="1" x14ac:dyDescent="0.4">
      <c r="A20" s="337">
        <v>18</v>
      </c>
      <c r="B20" s="337">
        <v>208</v>
      </c>
      <c r="C20" s="359" t="str">
        <f t="shared" si="0"/>
        <v>ＡＤレジデンス池袋</v>
      </c>
      <c r="D20" s="337" t="s">
        <v>478</v>
      </c>
      <c r="E20" s="72" t="s">
        <v>62</v>
      </c>
      <c r="F20" s="72" t="s">
        <v>476</v>
      </c>
      <c r="G20" s="72" t="s">
        <v>479</v>
      </c>
      <c r="H20" s="334">
        <v>300</v>
      </c>
      <c r="I20" s="72" t="s">
        <v>480</v>
      </c>
      <c r="J20" s="72" t="s">
        <v>480</v>
      </c>
      <c r="K20" s="380">
        <v>10000000</v>
      </c>
      <c r="L20" s="380">
        <v>50000</v>
      </c>
      <c r="M20" s="380">
        <v>10000</v>
      </c>
      <c r="N20" s="380">
        <v>1000000</v>
      </c>
      <c r="O20" s="380">
        <v>700000</v>
      </c>
      <c r="P20" s="380">
        <v>1000</v>
      </c>
      <c r="Q20" s="380">
        <v>1000</v>
      </c>
      <c r="R20" s="380">
        <v>1000000</v>
      </c>
      <c r="S20" s="380">
        <v>700000</v>
      </c>
      <c r="T20" s="380">
        <v>1000</v>
      </c>
      <c r="U20" s="380">
        <v>1000</v>
      </c>
      <c r="V20" s="380">
        <v>1000000</v>
      </c>
      <c r="W20" s="380">
        <v>700000</v>
      </c>
      <c r="X20" s="380">
        <v>1000</v>
      </c>
      <c r="Y20" s="380">
        <v>1000</v>
      </c>
      <c r="Z20" s="335">
        <v>1</v>
      </c>
    </row>
    <row r="21" spans="1:26" ht="20.100000000000001" customHeight="1" x14ac:dyDescent="0.4">
      <c r="A21" s="337">
        <v>19</v>
      </c>
      <c r="B21" s="337">
        <v>301</v>
      </c>
      <c r="C21" s="359" t="str">
        <f t="shared" si="0"/>
        <v>かぼちゃタワー101</v>
      </c>
      <c r="D21" s="337" t="s">
        <v>475</v>
      </c>
      <c r="E21" s="72" t="s">
        <v>473</v>
      </c>
      <c r="F21" s="72" t="s">
        <v>476</v>
      </c>
      <c r="H21" s="334">
        <v>5000</v>
      </c>
      <c r="I21" s="72">
        <v>123</v>
      </c>
      <c r="J21" s="72">
        <v>5555</v>
      </c>
      <c r="K21" s="380">
        <v>1000000</v>
      </c>
      <c r="L21" s="380">
        <v>1000</v>
      </c>
      <c r="M21" s="380">
        <v>1000</v>
      </c>
      <c r="N21" s="380">
        <v>1000000</v>
      </c>
      <c r="O21" s="380">
        <v>700000</v>
      </c>
      <c r="P21" s="380">
        <v>1000</v>
      </c>
      <c r="Q21" s="380">
        <v>1000</v>
      </c>
      <c r="R21" s="380">
        <v>1000000</v>
      </c>
      <c r="S21" s="380">
        <v>700000</v>
      </c>
      <c r="T21" s="380">
        <v>1000</v>
      </c>
      <c r="U21" s="380">
        <v>1000</v>
      </c>
      <c r="V21" s="380">
        <v>1000000</v>
      </c>
      <c r="W21" s="380">
        <v>700000</v>
      </c>
      <c r="X21" s="380">
        <v>1000</v>
      </c>
      <c r="Y21" s="380">
        <v>1000</v>
      </c>
      <c r="Z21" s="335">
        <v>1</v>
      </c>
    </row>
    <row r="22" spans="1:26" ht="20.100000000000001" customHeight="1" x14ac:dyDescent="0.4">
      <c r="A22" s="337">
        <v>20</v>
      </c>
      <c r="B22" s="337">
        <v>301</v>
      </c>
      <c r="C22" s="359" t="str">
        <f t="shared" si="0"/>
        <v>かぼちゃタワー101</v>
      </c>
      <c r="D22" s="337" t="s">
        <v>478</v>
      </c>
      <c r="E22" s="72" t="s">
        <v>62</v>
      </c>
      <c r="F22" s="72" t="s">
        <v>476</v>
      </c>
      <c r="G22" s="72" t="s">
        <v>479</v>
      </c>
      <c r="H22" s="334">
        <v>4000</v>
      </c>
      <c r="I22" s="72">
        <v>123</v>
      </c>
      <c r="J22" s="72">
        <v>5555</v>
      </c>
      <c r="K22" s="380">
        <v>10000000</v>
      </c>
      <c r="L22" s="380">
        <v>50000</v>
      </c>
      <c r="M22" s="380">
        <v>10000</v>
      </c>
      <c r="N22" s="380">
        <v>10000000</v>
      </c>
      <c r="O22" s="380">
        <v>7000000</v>
      </c>
      <c r="P22" s="380">
        <v>50000</v>
      </c>
      <c r="Q22" s="380">
        <v>10000</v>
      </c>
      <c r="R22" s="380">
        <v>10000000</v>
      </c>
      <c r="S22" s="380">
        <v>7000000</v>
      </c>
      <c r="T22" s="380">
        <v>50000</v>
      </c>
      <c r="U22" s="380">
        <v>10000</v>
      </c>
      <c r="V22" s="380">
        <v>10000000</v>
      </c>
      <c r="W22" s="380">
        <v>7000000</v>
      </c>
      <c r="X22" s="380">
        <v>50000</v>
      </c>
      <c r="Y22" s="380">
        <v>10000</v>
      </c>
      <c r="Z22" s="335">
        <v>1</v>
      </c>
    </row>
    <row r="23" spans="1:26" ht="20.100000000000001" customHeight="1" x14ac:dyDescent="0.4">
      <c r="A23" s="337">
        <v>21</v>
      </c>
      <c r="B23" s="337">
        <v>302</v>
      </c>
      <c r="C23" s="359" t="str">
        <f t="shared" si="0"/>
        <v>かぼちゃタワー102</v>
      </c>
      <c r="D23" s="337" t="s">
        <v>475</v>
      </c>
      <c r="E23" s="72" t="s">
        <v>473</v>
      </c>
      <c r="F23" s="72" t="s">
        <v>476</v>
      </c>
      <c r="H23" s="334">
        <v>5000</v>
      </c>
      <c r="I23" s="72">
        <v>123</v>
      </c>
      <c r="J23" s="72">
        <v>5555</v>
      </c>
      <c r="K23" s="380">
        <v>1000000</v>
      </c>
      <c r="L23" s="380">
        <v>1000</v>
      </c>
      <c r="M23" s="380">
        <v>1000</v>
      </c>
      <c r="N23" s="380">
        <v>10000000</v>
      </c>
      <c r="O23" s="380">
        <v>7000000</v>
      </c>
      <c r="P23" s="380">
        <v>50000</v>
      </c>
      <c r="Q23" s="380">
        <v>10000</v>
      </c>
      <c r="R23" s="380">
        <v>10000000</v>
      </c>
      <c r="S23" s="380">
        <v>7000000</v>
      </c>
      <c r="T23" s="380">
        <v>50000</v>
      </c>
      <c r="U23" s="380">
        <v>10000</v>
      </c>
      <c r="V23" s="380">
        <v>10000000</v>
      </c>
      <c r="W23" s="380">
        <v>7000000</v>
      </c>
      <c r="X23" s="380">
        <v>50000</v>
      </c>
      <c r="Y23" s="380">
        <v>10000</v>
      </c>
      <c r="Z23" s="335">
        <v>1</v>
      </c>
    </row>
    <row r="24" spans="1:26" ht="20.100000000000001" customHeight="1" x14ac:dyDescent="0.4">
      <c r="A24" s="337">
        <v>22</v>
      </c>
      <c r="B24" s="337">
        <v>302</v>
      </c>
      <c r="C24" s="359" t="str">
        <f t="shared" si="0"/>
        <v>かぼちゃタワー102</v>
      </c>
      <c r="D24" s="337" t="s">
        <v>478</v>
      </c>
      <c r="E24" s="72" t="s">
        <v>62</v>
      </c>
      <c r="F24" s="72" t="s">
        <v>476</v>
      </c>
      <c r="G24" s="72" t="s">
        <v>479</v>
      </c>
      <c r="H24" s="334">
        <v>4000</v>
      </c>
      <c r="I24" s="72">
        <v>123</v>
      </c>
      <c r="J24" s="72">
        <v>5555</v>
      </c>
      <c r="K24" s="380">
        <v>10000000</v>
      </c>
      <c r="L24" s="380">
        <v>50000</v>
      </c>
      <c r="M24" s="380">
        <v>10000</v>
      </c>
      <c r="N24" s="380">
        <v>1000000</v>
      </c>
      <c r="O24" s="380">
        <v>700000</v>
      </c>
      <c r="P24" s="380">
        <v>1000</v>
      </c>
      <c r="Q24" s="380">
        <v>1000</v>
      </c>
      <c r="R24" s="380">
        <v>1000000</v>
      </c>
      <c r="S24" s="380">
        <v>700000</v>
      </c>
      <c r="T24" s="380">
        <v>1000</v>
      </c>
      <c r="U24" s="380">
        <v>1000</v>
      </c>
      <c r="V24" s="380">
        <v>1000000</v>
      </c>
      <c r="W24" s="380">
        <v>700000</v>
      </c>
      <c r="X24" s="380">
        <v>1000</v>
      </c>
      <c r="Y24" s="380">
        <v>1000</v>
      </c>
      <c r="Z24" s="335">
        <v>1</v>
      </c>
    </row>
    <row r="25" spans="1:26" ht="20.100000000000001" customHeight="1" x14ac:dyDescent="0.4">
      <c r="A25" s="337">
        <v>23</v>
      </c>
      <c r="B25" s="337">
        <v>303</v>
      </c>
      <c r="C25" s="359" t="str">
        <f t="shared" si="0"/>
        <v>ブリリア目白201</v>
      </c>
      <c r="D25" s="337" t="s">
        <v>475</v>
      </c>
      <c r="E25" s="72" t="s">
        <v>473</v>
      </c>
      <c r="F25" s="72" t="s">
        <v>476</v>
      </c>
      <c r="H25" s="334">
        <v>5000</v>
      </c>
      <c r="I25" s="72">
        <v>123</v>
      </c>
      <c r="J25" s="72">
        <v>5555</v>
      </c>
      <c r="K25" s="380">
        <v>1000000</v>
      </c>
      <c r="L25" s="380">
        <v>1000</v>
      </c>
      <c r="M25" s="380">
        <v>1000</v>
      </c>
      <c r="N25" s="380">
        <v>1000000</v>
      </c>
      <c r="O25" s="380">
        <v>700000</v>
      </c>
      <c r="P25" s="380">
        <v>1000</v>
      </c>
      <c r="Q25" s="380">
        <v>1000</v>
      </c>
      <c r="R25" s="380">
        <v>1000000</v>
      </c>
      <c r="S25" s="380">
        <v>700000</v>
      </c>
      <c r="T25" s="380">
        <v>1000</v>
      </c>
      <c r="U25" s="380">
        <v>1000</v>
      </c>
      <c r="V25" s="380">
        <v>1000000</v>
      </c>
      <c r="W25" s="380">
        <v>700000</v>
      </c>
      <c r="X25" s="380">
        <v>1000</v>
      </c>
      <c r="Y25" s="380">
        <v>1000</v>
      </c>
      <c r="Z25" s="335">
        <v>1</v>
      </c>
    </row>
    <row r="26" spans="1:26" ht="20.100000000000001" customHeight="1" x14ac:dyDescent="0.4">
      <c r="A26" s="337">
        <v>24</v>
      </c>
      <c r="B26" s="337">
        <v>303</v>
      </c>
      <c r="C26" s="359" t="str">
        <f t="shared" si="0"/>
        <v>ブリリア目白201</v>
      </c>
      <c r="D26" s="337" t="s">
        <v>478</v>
      </c>
      <c r="E26" s="72" t="s">
        <v>62</v>
      </c>
      <c r="F26" s="72" t="s">
        <v>476</v>
      </c>
      <c r="G26" s="72" t="s">
        <v>479</v>
      </c>
      <c r="H26" s="334">
        <v>4000</v>
      </c>
      <c r="I26" s="72">
        <v>123</v>
      </c>
      <c r="J26" s="72">
        <v>5555</v>
      </c>
      <c r="K26" s="380">
        <v>10000000</v>
      </c>
      <c r="L26" s="380">
        <v>50000</v>
      </c>
      <c r="M26" s="380">
        <v>10000</v>
      </c>
      <c r="N26" s="380">
        <v>10000000</v>
      </c>
      <c r="O26" s="380">
        <v>7000000</v>
      </c>
      <c r="P26" s="380">
        <v>50000</v>
      </c>
      <c r="Q26" s="380">
        <v>10000</v>
      </c>
      <c r="R26" s="380">
        <v>10000000</v>
      </c>
      <c r="S26" s="380">
        <v>7000000</v>
      </c>
      <c r="T26" s="380">
        <v>50000</v>
      </c>
      <c r="U26" s="380">
        <v>10000</v>
      </c>
      <c r="V26" s="380">
        <v>10000000</v>
      </c>
      <c r="W26" s="380">
        <v>7000000</v>
      </c>
      <c r="X26" s="380">
        <v>50000</v>
      </c>
      <c r="Y26" s="380">
        <v>10000</v>
      </c>
      <c r="Z26" s="335">
        <v>1</v>
      </c>
    </row>
    <row r="27" spans="1:26" ht="20.100000000000001" customHeight="1" x14ac:dyDescent="0.4">
      <c r="A27" s="337">
        <v>25</v>
      </c>
      <c r="B27" s="337">
        <v>304</v>
      </c>
      <c r="C27" s="359" t="str">
        <f t="shared" si="0"/>
        <v>プラウド目白202</v>
      </c>
      <c r="D27" s="337" t="s">
        <v>475</v>
      </c>
      <c r="E27" s="72" t="s">
        <v>473</v>
      </c>
      <c r="F27" s="72" t="s">
        <v>476</v>
      </c>
      <c r="H27" s="334">
        <v>5000</v>
      </c>
      <c r="I27" s="72">
        <v>123</v>
      </c>
      <c r="J27" s="72">
        <v>5555</v>
      </c>
      <c r="K27" s="380">
        <v>1000000</v>
      </c>
      <c r="L27" s="380">
        <v>1000</v>
      </c>
      <c r="M27" s="380">
        <v>1000</v>
      </c>
      <c r="N27" s="380">
        <v>1000000</v>
      </c>
      <c r="O27" s="380">
        <v>700000</v>
      </c>
      <c r="P27" s="380">
        <v>1000</v>
      </c>
      <c r="Q27" s="380">
        <v>1000</v>
      </c>
      <c r="R27" s="380">
        <v>1000000</v>
      </c>
      <c r="S27" s="380">
        <v>700000</v>
      </c>
      <c r="T27" s="380">
        <v>1000</v>
      </c>
      <c r="U27" s="380">
        <v>1000</v>
      </c>
      <c r="V27" s="380">
        <v>1000000</v>
      </c>
      <c r="W27" s="380">
        <v>700000</v>
      </c>
      <c r="X27" s="380">
        <v>1000</v>
      </c>
      <c r="Y27" s="380">
        <v>1000</v>
      </c>
      <c r="Z27" s="335">
        <v>1</v>
      </c>
    </row>
    <row r="28" spans="1:26" ht="20.100000000000001" customHeight="1" x14ac:dyDescent="0.4">
      <c r="A28" s="337">
        <v>26</v>
      </c>
      <c r="B28" s="337">
        <v>304</v>
      </c>
      <c r="C28" s="359" t="str">
        <f t="shared" si="0"/>
        <v>プラウド目白202</v>
      </c>
      <c r="D28" s="337" t="s">
        <v>478</v>
      </c>
      <c r="E28" s="72" t="s">
        <v>62</v>
      </c>
      <c r="F28" s="72" t="s">
        <v>476</v>
      </c>
      <c r="G28" s="72" t="s">
        <v>479</v>
      </c>
      <c r="H28" s="334">
        <v>4000</v>
      </c>
      <c r="I28" s="72">
        <v>123</v>
      </c>
      <c r="J28" s="72">
        <v>5555</v>
      </c>
      <c r="K28" s="380">
        <v>10000000</v>
      </c>
      <c r="L28" s="380">
        <v>50000</v>
      </c>
      <c r="M28" s="380">
        <v>10000</v>
      </c>
      <c r="N28" s="380">
        <v>10000000</v>
      </c>
      <c r="O28" s="380">
        <v>7000000</v>
      </c>
      <c r="P28" s="380">
        <v>50000</v>
      </c>
      <c r="Q28" s="380">
        <v>10000</v>
      </c>
      <c r="R28" s="380">
        <v>10000000</v>
      </c>
      <c r="S28" s="380">
        <v>7000000</v>
      </c>
      <c r="T28" s="380">
        <v>50000</v>
      </c>
      <c r="U28" s="380">
        <v>10000</v>
      </c>
      <c r="V28" s="380">
        <v>10000000</v>
      </c>
      <c r="W28" s="380">
        <v>7000000</v>
      </c>
      <c r="X28" s="380">
        <v>50000</v>
      </c>
      <c r="Y28" s="380">
        <v>10000</v>
      </c>
      <c r="Z28" s="335">
        <v>1</v>
      </c>
    </row>
    <row r="29" spans="1:26" ht="20.100000000000001" customHeight="1" x14ac:dyDescent="0.4">
      <c r="A29" s="337">
        <v>27</v>
      </c>
      <c r="B29" s="337">
        <v>305</v>
      </c>
      <c r="C29" s="359" t="str">
        <f t="shared" si="0"/>
        <v>パークホームズ目白203</v>
      </c>
      <c r="D29" s="337" t="s">
        <v>475</v>
      </c>
      <c r="E29" s="72" t="s">
        <v>473</v>
      </c>
      <c r="F29" s="72" t="s">
        <v>476</v>
      </c>
      <c r="H29" s="334">
        <v>5000</v>
      </c>
      <c r="I29" s="72">
        <v>123</v>
      </c>
      <c r="J29" s="72">
        <v>5555</v>
      </c>
      <c r="K29" s="380">
        <v>1000000</v>
      </c>
      <c r="L29" s="380">
        <v>1000</v>
      </c>
      <c r="M29" s="380">
        <v>1000</v>
      </c>
      <c r="N29" s="380">
        <v>1000000</v>
      </c>
      <c r="O29" s="380">
        <v>700000</v>
      </c>
      <c r="P29" s="380">
        <v>1000</v>
      </c>
      <c r="Q29" s="380">
        <v>1000</v>
      </c>
      <c r="R29" s="380">
        <v>1000000</v>
      </c>
      <c r="S29" s="380">
        <v>700000</v>
      </c>
      <c r="T29" s="380">
        <v>1000</v>
      </c>
      <c r="U29" s="380">
        <v>1000</v>
      </c>
      <c r="V29" s="380">
        <v>1000000</v>
      </c>
      <c r="W29" s="380">
        <v>700000</v>
      </c>
      <c r="X29" s="380">
        <v>1000</v>
      </c>
      <c r="Y29" s="380">
        <v>1000</v>
      </c>
      <c r="Z29" s="335">
        <v>1</v>
      </c>
    </row>
    <row r="30" spans="1:26" ht="20.100000000000001" customHeight="1" x14ac:dyDescent="0.4">
      <c r="A30" s="337">
        <v>28</v>
      </c>
      <c r="B30" s="337">
        <v>305</v>
      </c>
      <c r="C30" s="359" t="str">
        <f t="shared" si="0"/>
        <v>パークホームズ目白203</v>
      </c>
      <c r="D30" s="337" t="s">
        <v>478</v>
      </c>
      <c r="E30" s="72" t="s">
        <v>62</v>
      </c>
      <c r="F30" s="72" t="s">
        <v>476</v>
      </c>
      <c r="G30" s="72" t="s">
        <v>479</v>
      </c>
      <c r="H30" s="334">
        <v>4000</v>
      </c>
      <c r="I30" s="72">
        <v>123</v>
      </c>
      <c r="J30" s="72">
        <v>5555</v>
      </c>
      <c r="K30" s="380">
        <v>10000000</v>
      </c>
      <c r="L30" s="380">
        <v>50000</v>
      </c>
      <c r="M30" s="380">
        <v>10000</v>
      </c>
      <c r="N30" s="380">
        <v>10000000</v>
      </c>
      <c r="O30" s="380">
        <v>7000000</v>
      </c>
      <c r="P30" s="380">
        <v>50000</v>
      </c>
      <c r="Q30" s="380">
        <v>10000</v>
      </c>
      <c r="R30" s="380">
        <v>10000000</v>
      </c>
      <c r="S30" s="380">
        <v>7000000</v>
      </c>
      <c r="T30" s="380">
        <v>50000</v>
      </c>
      <c r="U30" s="380">
        <v>10000</v>
      </c>
      <c r="V30" s="380">
        <v>10000000</v>
      </c>
      <c r="W30" s="380">
        <v>7000000</v>
      </c>
      <c r="X30" s="380">
        <v>50000</v>
      </c>
      <c r="Y30" s="380">
        <v>10000</v>
      </c>
      <c r="Z30" s="335">
        <v>1</v>
      </c>
    </row>
    <row r="31" spans="1:26" ht="20.100000000000001" customHeight="1" x14ac:dyDescent="0.4">
      <c r="A31" s="337">
        <v>29</v>
      </c>
      <c r="B31" s="337">
        <v>306</v>
      </c>
      <c r="C31" s="359" t="str">
        <f t="shared" si="0"/>
        <v>六本木ヒルズB棟3099</v>
      </c>
      <c r="D31" s="337" t="s">
        <v>475</v>
      </c>
      <c r="E31" s="72" t="s">
        <v>473</v>
      </c>
      <c r="F31" s="72" t="s">
        <v>476</v>
      </c>
      <c r="H31" s="334">
        <v>5000</v>
      </c>
      <c r="I31" s="72">
        <v>123</v>
      </c>
      <c r="J31" s="72">
        <v>5555</v>
      </c>
      <c r="K31" s="380">
        <v>1000000</v>
      </c>
      <c r="L31" s="380">
        <v>1000</v>
      </c>
      <c r="M31" s="380">
        <v>1000</v>
      </c>
      <c r="N31" s="380">
        <v>1000000</v>
      </c>
      <c r="O31" s="380">
        <v>700000</v>
      </c>
      <c r="P31" s="380">
        <v>1000</v>
      </c>
      <c r="Q31" s="380">
        <v>1000</v>
      </c>
      <c r="R31" s="380">
        <v>1000000</v>
      </c>
      <c r="S31" s="380">
        <v>700000</v>
      </c>
      <c r="T31" s="380">
        <v>1000</v>
      </c>
      <c r="U31" s="380">
        <v>1000</v>
      </c>
      <c r="V31" s="380">
        <v>1000000</v>
      </c>
      <c r="W31" s="380">
        <v>700000</v>
      </c>
      <c r="X31" s="380">
        <v>1000</v>
      </c>
      <c r="Y31" s="380">
        <v>1000</v>
      </c>
      <c r="Z31" s="335">
        <v>1</v>
      </c>
    </row>
    <row r="32" spans="1:26" ht="20.100000000000001" customHeight="1" x14ac:dyDescent="0.4">
      <c r="A32" s="337">
        <v>30</v>
      </c>
      <c r="B32" s="337">
        <v>306</v>
      </c>
      <c r="C32" s="359" t="str">
        <f t="shared" si="0"/>
        <v>六本木ヒルズB棟3099</v>
      </c>
      <c r="D32" s="337" t="s">
        <v>478</v>
      </c>
      <c r="E32" s="72" t="s">
        <v>62</v>
      </c>
      <c r="F32" s="72" t="s">
        <v>476</v>
      </c>
      <c r="G32" s="72" t="s">
        <v>479</v>
      </c>
      <c r="H32" s="334">
        <v>4000</v>
      </c>
      <c r="I32" s="72">
        <v>123</v>
      </c>
      <c r="J32" s="72">
        <v>5555</v>
      </c>
      <c r="K32" s="380">
        <v>10000000</v>
      </c>
      <c r="L32" s="380">
        <v>50000</v>
      </c>
      <c r="M32" s="380">
        <v>10000</v>
      </c>
      <c r="N32" s="380">
        <v>1000000</v>
      </c>
      <c r="O32" s="380">
        <v>700000</v>
      </c>
      <c r="P32" s="380">
        <v>1000</v>
      </c>
      <c r="Q32" s="380">
        <v>1000</v>
      </c>
      <c r="R32" s="380">
        <v>1000000</v>
      </c>
      <c r="S32" s="380">
        <v>700000</v>
      </c>
      <c r="T32" s="380">
        <v>1000</v>
      </c>
      <c r="U32" s="380">
        <v>1000</v>
      </c>
      <c r="V32" s="380">
        <v>1000000</v>
      </c>
      <c r="W32" s="380">
        <v>700000</v>
      </c>
      <c r="X32" s="380">
        <v>1000</v>
      </c>
      <c r="Y32" s="380">
        <v>1000</v>
      </c>
      <c r="Z32" s="335">
        <v>1</v>
      </c>
    </row>
    <row r="33" spans="3:26" x14ac:dyDescent="0.4">
      <c r="C33" s="359"/>
      <c r="K33" s="380"/>
      <c r="L33" s="380"/>
      <c r="M33" s="380"/>
      <c r="N33" s="380"/>
      <c r="O33" s="380"/>
      <c r="P33" s="380"/>
      <c r="Q33" s="380"/>
      <c r="R33" s="380"/>
      <c r="S33" s="380"/>
      <c r="T33" s="380"/>
      <c r="U33" s="380"/>
      <c r="V33" s="380"/>
      <c r="W33" s="380"/>
      <c r="X33" s="380"/>
      <c r="Y33" s="380"/>
      <c r="Z33" s="335"/>
    </row>
    <row r="34" spans="3:26" x14ac:dyDescent="0.4">
      <c r="C34" s="359"/>
      <c r="K34" s="380"/>
      <c r="L34" s="380"/>
      <c r="M34" s="380"/>
      <c r="N34" s="380"/>
      <c r="O34" s="380"/>
      <c r="P34" s="380"/>
      <c r="Q34" s="380"/>
      <c r="R34" s="380"/>
      <c r="S34" s="380"/>
      <c r="T34" s="380"/>
      <c r="U34" s="380"/>
      <c r="V34" s="380"/>
      <c r="W34" s="380"/>
      <c r="X34" s="380"/>
      <c r="Y34" s="380"/>
      <c r="Z34" s="335"/>
    </row>
    <row r="35" spans="3:26" x14ac:dyDescent="0.4">
      <c r="C35" s="359"/>
      <c r="K35" s="380"/>
      <c r="L35" s="380"/>
      <c r="M35" s="380"/>
      <c r="N35" s="380"/>
      <c r="O35" s="380"/>
      <c r="P35" s="380"/>
      <c r="Q35" s="380"/>
      <c r="R35" s="380"/>
      <c r="S35" s="380"/>
      <c r="T35" s="380"/>
      <c r="U35" s="380"/>
      <c r="V35" s="380"/>
      <c r="W35" s="380"/>
      <c r="X35" s="380"/>
      <c r="Y35" s="380"/>
      <c r="Z35" s="335"/>
    </row>
    <row r="36" spans="3:26" x14ac:dyDescent="0.4">
      <c r="C36" s="359"/>
      <c r="K36" s="380"/>
      <c r="L36" s="380"/>
      <c r="M36" s="380"/>
      <c r="N36" s="380"/>
      <c r="O36" s="380"/>
      <c r="P36" s="380"/>
      <c r="Q36" s="380"/>
      <c r="R36" s="380"/>
      <c r="S36" s="380"/>
      <c r="T36" s="380"/>
      <c r="U36" s="380"/>
      <c r="V36" s="380"/>
      <c r="W36" s="380"/>
      <c r="X36" s="380"/>
      <c r="Y36" s="380"/>
      <c r="Z36" s="335"/>
    </row>
    <row r="37" spans="3:26" x14ac:dyDescent="0.4">
      <c r="C37" s="359"/>
      <c r="K37" s="380"/>
      <c r="L37" s="380"/>
      <c r="M37" s="380"/>
      <c r="N37" s="380"/>
      <c r="O37" s="380"/>
      <c r="P37" s="380"/>
      <c r="Q37" s="380"/>
      <c r="R37" s="380"/>
      <c r="S37" s="380"/>
      <c r="T37" s="380"/>
      <c r="U37" s="380"/>
      <c r="V37" s="380"/>
      <c r="W37" s="380"/>
      <c r="X37" s="380"/>
      <c r="Y37" s="380"/>
      <c r="Z37" s="335"/>
    </row>
    <row r="38" spans="3:26" x14ac:dyDescent="0.4">
      <c r="K38" s="380"/>
      <c r="L38" s="380"/>
      <c r="M38" s="380"/>
      <c r="N38" s="380"/>
      <c r="O38" s="380"/>
      <c r="P38" s="380"/>
      <c r="Q38" s="380"/>
      <c r="R38" s="380"/>
      <c r="S38" s="380"/>
      <c r="T38" s="380"/>
      <c r="U38" s="380"/>
      <c r="V38" s="380"/>
      <c r="W38" s="380"/>
      <c r="X38" s="380"/>
      <c r="Y38" s="380"/>
      <c r="Z38" s="335"/>
    </row>
  </sheetData>
  <phoneticPr fontId="3"/>
  <pageMargins left="0.70866141732283461" right="0.70866141732283461" top="0.74803149606299213" bottom="0.74803149606299213" header="0.31496062992125984" footer="0.31496062992125984"/>
  <pageSetup paperSize="8" scale="88" orientation="landscape"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4FBDD-C212-4049-AFE4-B9A203F7A416}">
  <sheetPr>
    <pageSetUpPr fitToPage="1"/>
  </sheetPr>
  <dimension ref="A1:C13"/>
  <sheetViews>
    <sheetView workbookViewId="0"/>
  </sheetViews>
  <sheetFormatPr defaultRowHeight="15.75" x14ac:dyDescent="0.4"/>
  <cols>
    <col min="1" max="1" width="9" style="72"/>
    <col min="2" max="2" width="14.125" style="323" customWidth="1"/>
    <col min="3" max="3" width="58.625" style="72" customWidth="1"/>
    <col min="4" max="16384" width="9" style="72"/>
  </cols>
  <sheetData>
    <row r="1" spans="1:3" ht="33" x14ac:dyDescent="0.4">
      <c r="A1" s="397" t="s">
        <v>549</v>
      </c>
    </row>
    <row r="2" spans="1:3" ht="21" x14ac:dyDescent="0.4">
      <c r="A2" s="148" t="s">
        <v>756</v>
      </c>
    </row>
    <row r="4" spans="1:3" ht="21" x14ac:dyDescent="0.4">
      <c r="B4" s="398" t="s">
        <v>550</v>
      </c>
    </row>
    <row r="6" spans="1:3" ht="16.5" x14ac:dyDescent="0.4">
      <c r="B6" s="322" t="s">
        <v>560</v>
      </c>
    </row>
    <row r="7" spans="1:3" ht="16.5" x14ac:dyDescent="0.4">
      <c r="B7" s="322" t="s">
        <v>551</v>
      </c>
    </row>
    <row r="8" spans="1:3" ht="16.5" x14ac:dyDescent="0.4">
      <c r="B8" s="322" t="s">
        <v>552</v>
      </c>
    </row>
    <row r="10" spans="1:3" ht="16.5" x14ac:dyDescent="0.4">
      <c r="B10" s="322" t="s">
        <v>553</v>
      </c>
      <c r="C10" s="311" t="s">
        <v>554</v>
      </c>
    </row>
    <row r="11" spans="1:3" ht="16.5" x14ac:dyDescent="0.4">
      <c r="B11" s="322" t="s">
        <v>557</v>
      </c>
      <c r="C11" s="311" t="s">
        <v>555</v>
      </c>
    </row>
    <row r="12" spans="1:3" ht="16.5" x14ac:dyDescent="0.4">
      <c r="B12" s="322" t="s">
        <v>558</v>
      </c>
      <c r="C12" s="311" t="s">
        <v>556</v>
      </c>
    </row>
    <row r="13" spans="1:3" ht="16.5" x14ac:dyDescent="0.4">
      <c r="B13" s="322" t="s">
        <v>559</v>
      </c>
      <c r="C13" s="311" t="s">
        <v>561</v>
      </c>
    </row>
  </sheetData>
  <phoneticPr fontId="3"/>
  <pageMargins left="0.70866141732283461" right="0.70866141732283461" top="0.74803149606299213" bottom="0.74803149606299213" header="0.31496062992125984" footer="0.31496062992125984"/>
  <pageSetup paperSize="8" scale="82" orientation="landscape"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DE561-B122-4479-A1DC-5C98FA9349AE}">
  <sheetPr>
    <pageSetUpPr fitToPage="1"/>
  </sheetPr>
  <dimension ref="A1:H70"/>
  <sheetViews>
    <sheetView view="pageBreakPreview" zoomScaleNormal="100" zoomScaleSheetLayoutView="100" workbookViewId="0">
      <selection sqref="A1:C1"/>
    </sheetView>
  </sheetViews>
  <sheetFormatPr defaultRowHeight="18.75" x14ac:dyDescent="0.4"/>
  <cols>
    <col min="1" max="1" width="23.5" customWidth="1"/>
    <col min="2" max="2" width="14.75" customWidth="1"/>
    <col min="3" max="8" width="18.625" customWidth="1"/>
  </cols>
  <sheetData>
    <row r="1" spans="1:8" ht="33" x14ac:dyDescent="0.4">
      <c r="A1" s="438" t="s">
        <v>745</v>
      </c>
      <c r="B1" s="438"/>
      <c r="C1" s="438"/>
    </row>
    <row r="2" spans="1:8" x14ac:dyDescent="0.4">
      <c r="A2" s="56" t="s">
        <v>562</v>
      </c>
      <c r="B2" s="56"/>
      <c r="C2" s="56" t="s">
        <v>632</v>
      </c>
      <c r="D2" s="56"/>
      <c r="E2" s="56"/>
      <c r="F2" s="56"/>
      <c r="G2" s="56"/>
      <c r="H2" s="56"/>
    </row>
    <row r="3" spans="1:8" ht="32.25" customHeight="1" x14ac:dyDescent="0.4">
      <c r="A3" s="57" t="s">
        <v>563</v>
      </c>
      <c r="B3" s="57" t="s">
        <v>356</v>
      </c>
      <c r="C3" s="61" t="s">
        <v>634</v>
      </c>
      <c r="D3" s="60" t="s">
        <v>636</v>
      </c>
      <c r="E3" s="60" t="s">
        <v>640</v>
      </c>
      <c r="F3" s="60" t="s">
        <v>638</v>
      </c>
      <c r="G3" s="60" t="s">
        <v>642</v>
      </c>
      <c r="H3" s="60" t="s">
        <v>644</v>
      </c>
    </row>
    <row r="4" spans="1:8" x14ac:dyDescent="0.4">
      <c r="A4" s="55" t="s">
        <v>564</v>
      </c>
      <c r="B4" s="58"/>
      <c r="C4" s="6"/>
      <c r="D4" s="6"/>
      <c r="E4" s="6"/>
      <c r="F4" s="6"/>
      <c r="G4" s="6"/>
      <c r="H4" s="6"/>
    </row>
    <row r="5" spans="1:8" x14ac:dyDescent="0.4">
      <c r="A5" s="55" t="s">
        <v>565</v>
      </c>
      <c r="B5" s="59">
        <v>1111111</v>
      </c>
      <c r="C5" s="7">
        <v>99999</v>
      </c>
      <c r="D5" s="7">
        <v>8888</v>
      </c>
      <c r="E5" s="7">
        <v>777777</v>
      </c>
      <c r="F5" s="7">
        <v>55555</v>
      </c>
      <c r="G5" s="7">
        <v>4444</v>
      </c>
      <c r="H5" s="7">
        <v>33333</v>
      </c>
    </row>
    <row r="6" spans="1:8" x14ac:dyDescent="0.4">
      <c r="A6" s="55" t="s">
        <v>566</v>
      </c>
      <c r="B6" s="59">
        <v>1111111</v>
      </c>
      <c r="C6" s="7">
        <v>99999</v>
      </c>
      <c r="D6" s="7">
        <v>8888</v>
      </c>
      <c r="E6" s="7">
        <v>777777</v>
      </c>
      <c r="F6" s="7">
        <v>55555</v>
      </c>
      <c r="G6" s="7">
        <v>4444</v>
      </c>
      <c r="H6" s="7">
        <v>33333</v>
      </c>
    </row>
    <row r="7" spans="1:8" x14ac:dyDescent="0.4">
      <c r="A7" s="55" t="s">
        <v>567</v>
      </c>
      <c r="B7" s="59">
        <v>1111111</v>
      </c>
      <c r="C7" s="7">
        <v>99999</v>
      </c>
      <c r="D7" s="7">
        <v>8888</v>
      </c>
      <c r="E7" s="7">
        <v>777777</v>
      </c>
      <c r="F7" s="7">
        <v>55555</v>
      </c>
      <c r="G7" s="7">
        <v>4444</v>
      </c>
      <c r="H7" s="7">
        <v>33333</v>
      </c>
    </row>
    <row r="8" spans="1:8" x14ac:dyDescent="0.4">
      <c r="A8" s="55" t="s">
        <v>568</v>
      </c>
      <c r="B8" s="59">
        <v>1111111</v>
      </c>
      <c r="C8" s="7">
        <v>99999</v>
      </c>
      <c r="D8" s="7">
        <v>8888</v>
      </c>
      <c r="E8" s="7">
        <v>777777</v>
      </c>
      <c r="F8" s="7">
        <v>55555</v>
      </c>
      <c r="G8" s="7">
        <v>4444</v>
      </c>
      <c r="H8" s="7">
        <v>33333</v>
      </c>
    </row>
    <row r="9" spans="1:8" x14ac:dyDescent="0.4">
      <c r="A9" s="55" t="s">
        <v>569</v>
      </c>
      <c r="B9" s="59">
        <v>1111111</v>
      </c>
      <c r="C9" s="7">
        <v>99999</v>
      </c>
      <c r="D9" s="7">
        <v>8888</v>
      </c>
      <c r="E9" s="7">
        <v>777777</v>
      </c>
      <c r="F9" s="7">
        <v>55555</v>
      </c>
      <c r="G9" s="7">
        <v>4444</v>
      </c>
      <c r="H9" s="7">
        <v>33333</v>
      </c>
    </row>
    <row r="10" spans="1:8" x14ac:dyDescent="0.4">
      <c r="A10" s="55" t="s">
        <v>570</v>
      </c>
      <c r="B10" s="59">
        <v>1111111</v>
      </c>
      <c r="C10" s="7">
        <v>99999</v>
      </c>
      <c r="D10" s="7">
        <v>8888</v>
      </c>
      <c r="E10" s="7">
        <v>777777</v>
      </c>
      <c r="F10" s="7">
        <v>55555</v>
      </c>
      <c r="G10" s="7">
        <v>4444</v>
      </c>
      <c r="H10" s="7">
        <v>33333</v>
      </c>
    </row>
    <row r="11" spans="1:8" x14ac:dyDescent="0.4">
      <c r="A11" s="55" t="s">
        <v>571</v>
      </c>
      <c r="B11" s="58"/>
      <c r="C11" s="6"/>
      <c r="D11" s="6"/>
      <c r="E11" s="6"/>
      <c r="F11" s="6"/>
      <c r="G11" s="6"/>
      <c r="H11" s="6"/>
    </row>
    <row r="12" spans="1:8" x14ac:dyDescent="0.4">
      <c r="A12" s="55" t="s">
        <v>572</v>
      </c>
      <c r="B12" s="59">
        <v>1111111</v>
      </c>
      <c r="C12" s="7">
        <v>99999</v>
      </c>
      <c r="D12" s="7">
        <v>8888</v>
      </c>
      <c r="E12" s="7">
        <v>777777</v>
      </c>
      <c r="F12" s="7">
        <v>55555</v>
      </c>
      <c r="G12" s="7">
        <v>4444</v>
      </c>
      <c r="H12" s="7">
        <v>33333</v>
      </c>
    </row>
    <row r="13" spans="1:8" x14ac:dyDescent="0.4">
      <c r="A13" s="55" t="s">
        <v>573</v>
      </c>
      <c r="B13" s="59">
        <v>1111111</v>
      </c>
      <c r="C13" s="7">
        <v>99999</v>
      </c>
      <c r="D13" s="7">
        <v>8888</v>
      </c>
      <c r="E13" s="7">
        <v>777777</v>
      </c>
      <c r="F13" s="7">
        <v>55555</v>
      </c>
      <c r="G13" s="7">
        <v>4444</v>
      </c>
      <c r="H13" s="7">
        <v>33333</v>
      </c>
    </row>
    <row r="14" spans="1:8" x14ac:dyDescent="0.4">
      <c r="A14" s="55" t="s">
        <v>574</v>
      </c>
      <c r="B14" s="59">
        <v>1111111</v>
      </c>
      <c r="C14" s="7">
        <v>99999</v>
      </c>
      <c r="D14" s="7">
        <v>8888</v>
      </c>
      <c r="E14" s="7">
        <v>777777</v>
      </c>
      <c r="F14" s="7">
        <v>55555</v>
      </c>
      <c r="G14" s="7">
        <v>4444</v>
      </c>
      <c r="H14" s="7">
        <v>33333</v>
      </c>
    </row>
    <row r="15" spans="1:8" x14ac:dyDescent="0.4">
      <c r="A15" s="55" t="s">
        <v>575</v>
      </c>
      <c r="B15" s="59">
        <v>1111111</v>
      </c>
      <c r="C15" s="7">
        <v>99999</v>
      </c>
      <c r="D15" s="7">
        <v>8888</v>
      </c>
      <c r="E15" s="7">
        <v>777777</v>
      </c>
      <c r="F15" s="7">
        <v>55555</v>
      </c>
      <c r="G15" s="7">
        <v>4444</v>
      </c>
      <c r="H15" s="7">
        <v>33333</v>
      </c>
    </row>
    <row r="16" spans="1:8" x14ac:dyDescent="0.4">
      <c r="A16" s="55" t="s">
        <v>576</v>
      </c>
      <c r="B16" s="59">
        <v>1111111</v>
      </c>
      <c r="C16" s="7">
        <v>99999</v>
      </c>
      <c r="D16" s="7">
        <v>8888</v>
      </c>
      <c r="E16" s="7">
        <v>777777</v>
      </c>
      <c r="F16" s="7">
        <v>55555</v>
      </c>
      <c r="G16" s="7">
        <v>4444</v>
      </c>
      <c r="H16" s="7">
        <v>33333</v>
      </c>
    </row>
    <row r="17" spans="1:8" x14ac:dyDescent="0.4">
      <c r="A17" s="55" t="s">
        <v>577</v>
      </c>
      <c r="B17" s="59">
        <v>1111111</v>
      </c>
      <c r="C17" s="7">
        <v>99999</v>
      </c>
      <c r="D17" s="7">
        <v>8888</v>
      </c>
      <c r="E17" s="7">
        <v>777777</v>
      </c>
      <c r="F17" s="7">
        <v>55555</v>
      </c>
      <c r="G17" s="7">
        <v>4444</v>
      </c>
      <c r="H17" s="7">
        <v>33333</v>
      </c>
    </row>
    <row r="18" spans="1:8" x14ac:dyDescent="0.4">
      <c r="A18" s="55" t="s">
        <v>578</v>
      </c>
      <c r="B18" s="58"/>
      <c r="C18" s="6"/>
      <c r="D18" s="6"/>
      <c r="E18" s="6"/>
      <c r="F18" s="6"/>
      <c r="G18" s="6"/>
      <c r="H18" s="6"/>
    </row>
    <row r="19" spans="1:8" x14ac:dyDescent="0.4">
      <c r="A19" s="55" t="s">
        <v>579</v>
      </c>
      <c r="B19" s="59">
        <v>1111111</v>
      </c>
      <c r="C19" s="7">
        <v>99999</v>
      </c>
      <c r="D19" s="7">
        <v>8888</v>
      </c>
      <c r="E19" s="7">
        <v>777777</v>
      </c>
      <c r="F19" s="7">
        <v>55555</v>
      </c>
      <c r="G19" s="7">
        <v>4444</v>
      </c>
      <c r="H19" s="7">
        <v>33333</v>
      </c>
    </row>
    <row r="20" spans="1:8" x14ac:dyDescent="0.4">
      <c r="A20" s="55" t="s">
        <v>580</v>
      </c>
      <c r="B20" s="59">
        <v>1111111</v>
      </c>
      <c r="C20" s="7">
        <v>99999</v>
      </c>
      <c r="D20" s="7">
        <v>8888</v>
      </c>
      <c r="E20" s="7">
        <v>777777</v>
      </c>
      <c r="F20" s="7">
        <v>55555</v>
      </c>
      <c r="G20" s="7">
        <v>4444</v>
      </c>
      <c r="H20" s="7">
        <v>33333</v>
      </c>
    </row>
    <row r="21" spans="1:8" x14ac:dyDescent="0.4">
      <c r="A21" s="55" t="s">
        <v>581</v>
      </c>
      <c r="B21" s="59">
        <v>1111111</v>
      </c>
      <c r="C21" s="7">
        <v>99999</v>
      </c>
      <c r="D21" s="7">
        <v>8888</v>
      </c>
      <c r="E21" s="7">
        <v>777777</v>
      </c>
      <c r="F21" s="7">
        <v>55555</v>
      </c>
      <c r="G21" s="7">
        <v>4444</v>
      </c>
      <c r="H21" s="7">
        <v>33333</v>
      </c>
    </row>
    <row r="22" spans="1:8" x14ac:dyDescent="0.4">
      <c r="A22" s="55" t="s">
        <v>582</v>
      </c>
      <c r="B22" s="59">
        <v>1111111</v>
      </c>
      <c r="C22" s="7">
        <v>99999</v>
      </c>
      <c r="D22" s="7">
        <v>8888</v>
      </c>
      <c r="E22" s="7">
        <v>777777</v>
      </c>
      <c r="F22" s="7">
        <v>55555</v>
      </c>
      <c r="G22" s="7">
        <v>4444</v>
      </c>
      <c r="H22" s="7">
        <v>33333</v>
      </c>
    </row>
    <row r="23" spans="1:8" x14ac:dyDescent="0.4">
      <c r="A23" s="55" t="s">
        <v>583</v>
      </c>
      <c r="B23" s="59">
        <v>1111111</v>
      </c>
      <c r="C23" s="7">
        <v>99999</v>
      </c>
      <c r="D23" s="7">
        <v>8888</v>
      </c>
      <c r="E23" s="7">
        <v>777777</v>
      </c>
      <c r="F23" s="7">
        <v>55555</v>
      </c>
      <c r="G23" s="7">
        <v>4444</v>
      </c>
      <c r="H23" s="7">
        <v>33333</v>
      </c>
    </row>
    <row r="24" spans="1:8" x14ac:dyDescent="0.4">
      <c r="A24" s="55" t="s">
        <v>584</v>
      </c>
      <c r="B24" s="59">
        <v>1111111</v>
      </c>
      <c r="C24" s="7">
        <v>99999</v>
      </c>
      <c r="D24" s="7">
        <v>8888</v>
      </c>
      <c r="E24" s="7">
        <v>777777</v>
      </c>
      <c r="F24" s="7">
        <v>55555</v>
      </c>
      <c r="G24" s="7">
        <v>4444</v>
      </c>
      <c r="H24" s="7">
        <v>33333</v>
      </c>
    </row>
    <row r="25" spans="1:8" x14ac:dyDescent="0.4">
      <c r="A25" s="55" t="s">
        <v>585</v>
      </c>
      <c r="B25" s="59">
        <v>1111111</v>
      </c>
      <c r="C25" s="7">
        <v>99999</v>
      </c>
      <c r="D25" s="7">
        <v>8888</v>
      </c>
      <c r="E25" s="7">
        <v>777777</v>
      </c>
      <c r="F25" s="7">
        <v>55555</v>
      </c>
      <c r="G25" s="7">
        <v>4444</v>
      </c>
      <c r="H25" s="7">
        <v>33333</v>
      </c>
    </row>
    <row r="26" spans="1:8" x14ac:dyDescent="0.4">
      <c r="A26" s="55" t="s">
        <v>586</v>
      </c>
      <c r="B26" s="59">
        <v>1111111</v>
      </c>
      <c r="C26" s="7">
        <v>99999</v>
      </c>
      <c r="D26" s="7">
        <v>8888</v>
      </c>
      <c r="E26" s="7">
        <v>777777</v>
      </c>
      <c r="F26" s="7">
        <v>55555</v>
      </c>
      <c r="G26" s="7">
        <v>4444</v>
      </c>
      <c r="H26" s="7">
        <v>33333</v>
      </c>
    </row>
    <row r="27" spans="1:8" x14ac:dyDescent="0.4">
      <c r="A27" s="55" t="s">
        <v>587</v>
      </c>
      <c r="B27" s="59">
        <v>1111111</v>
      </c>
      <c r="C27" s="7">
        <v>99999</v>
      </c>
      <c r="D27" s="7">
        <v>8888</v>
      </c>
      <c r="E27" s="7">
        <v>777777</v>
      </c>
      <c r="F27" s="7">
        <v>55555</v>
      </c>
      <c r="G27" s="7">
        <v>4444</v>
      </c>
      <c r="H27" s="7">
        <v>33333</v>
      </c>
    </row>
    <row r="28" spans="1:8" x14ac:dyDescent="0.4">
      <c r="A28" s="55" t="s">
        <v>588</v>
      </c>
      <c r="B28" s="59">
        <v>1111111</v>
      </c>
      <c r="C28" s="7">
        <v>99999</v>
      </c>
      <c r="D28" s="7">
        <v>8888</v>
      </c>
      <c r="E28" s="7">
        <v>777777</v>
      </c>
      <c r="F28" s="7">
        <v>55555</v>
      </c>
      <c r="G28" s="7">
        <v>4444</v>
      </c>
      <c r="H28" s="7">
        <v>33333</v>
      </c>
    </row>
    <row r="29" spans="1:8" x14ac:dyDescent="0.4">
      <c r="A29" s="55" t="s">
        <v>589</v>
      </c>
      <c r="B29" s="59">
        <v>1111111</v>
      </c>
      <c r="C29" s="7">
        <v>99999</v>
      </c>
      <c r="D29" s="7">
        <v>8888</v>
      </c>
      <c r="E29" s="7">
        <v>777777</v>
      </c>
      <c r="F29" s="7">
        <v>55555</v>
      </c>
      <c r="G29" s="7">
        <v>4444</v>
      </c>
      <c r="H29" s="7">
        <v>33333</v>
      </c>
    </row>
    <row r="30" spans="1:8" x14ac:dyDescent="0.4">
      <c r="A30" s="55" t="s">
        <v>590</v>
      </c>
      <c r="B30" s="59">
        <v>1111111</v>
      </c>
      <c r="C30" s="7">
        <v>99999</v>
      </c>
      <c r="D30" s="7">
        <v>8888</v>
      </c>
      <c r="E30" s="7">
        <v>777777</v>
      </c>
      <c r="F30" s="7">
        <v>55555</v>
      </c>
      <c r="G30" s="7">
        <v>4444</v>
      </c>
      <c r="H30" s="7">
        <v>33333</v>
      </c>
    </row>
    <row r="31" spans="1:8" x14ac:dyDescent="0.4">
      <c r="A31" s="55" t="s">
        <v>591</v>
      </c>
      <c r="B31" s="59">
        <v>1111111</v>
      </c>
      <c r="C31" s="7">
        <v>99999</v>
      </c>
      <c r="D31" s="7">
        <v>8888</v>
      </c>
      <c r="E31" s="7">
        <v>777777</v>
      </c>
      <c r="F31" s="7">
        <v>55555</v>
      </c>
      <c r="G31" s="7">
        <v>4444</v>
      </c>
      <c r="H31" s="7">
        <v>33333</v>
      </c>
    </row>
    <row r="32" spans="1:8" x14ac:dyDescent="0.4">
      <c r="A32" s="55" t="s">
        <v>592</v>
      </c>
      <c r="B32" s="59">
        <v>1111111</v>
      </c>
      <c r="C32" s="7">
        <v>99999</v>
      </c>
      <c r="D32" s="7">
        <v>8888</v>
      </c>
      <c r="E32" s="7">
        <v>777777</v>
      </c>
      <c r="F32" s="7">
        <v>55555</v>
      </c>
      <c r="G32" s="7">
        <v>4444</v>
      </c>
      <c r="H32" s="7">
        <v>33333</v>
      </c>
    </row>
    <row r="33" spans="1:8" x14ac:dyDescent="0.4">
      <c r="A33" s="55" t="s">
        <v>593</v>
      </c>
      <c r="B33" s="59">
        <v>1111111</v>
      </c>
      <c r="C33" s="7">
        <v>99999</v>
      </c>
      <c r="D33" s="7">
        <v>8888</v>
      </c>
      <c r="E33" s="7">
        <v>777777</v>
      </c>
      <c r="F33" s="7">
        <v>55555</v>
      </c>
      <c r="G33" s="7">
        <v>4444</v>
      </c>
      <c r="H33" s="7">
        <v>33333</v>
      </c>
    </row>
    <row r="34" spans="1:8" x14ac:dyDescent="0.4">
      <c r="A34" s="55" t="s">
        <v>594</v>
      </c>
      <c r="B34" s="59">
        <v>1111111</v>
      </c>
      <c r="C34" s="7">
        <v>99999</v>
      </c>
      <c r="D34" s="7">
        <v>8888</v>
      </c>
      <c r="E34" s="7">
        <v>777777</v>
      </c>
      <c r="F34" s="7">
        <v>55555</v>
      </c>
      <c r="G34" s="7">
        <v>4444</v>
      </c>
      <c r="H34" s="7">
        <v>33333</v>
      </c>
    </row>
    <row r="35" spans="1:8" x14ac:dyDescent="0.4">
      <c r="A35" s="55" t="s">
        <v>595</v>
      </c>
      <c r="B35" s="59">
        <v>1111111</v>
      </c>
      <c r="C35" s="7">
        <v>99999</v>
      </c>
      <c r="D35" s="7">
        <v>8888</v>
      </c>
      <c r="E35" s="7">
        <v>777777</v>
      </c>
      <c r="F35" s="7">
        <v>55555</v>
      </c>
      <c r="G35" s="7">
        <v>4444</v>
      </c>
      <c r="H35" s="7">
        <v>33333</v>
      </c>
    </row>
    <row r="36" spans="1:8" x14ac:dyDescent="0.4">
      <c r="A36" s="55" t="s">
        <v>596</v>
      </c>
      <c r="B36" s="59">
        <v>1111111</v>
      </c>
      <c r="C36" s="7">
        <v>99999</v>
      </c>
      <c r="D36" s="7">
        <v>8888</v>
      </c>
      <c r="E36" s="7">
        <v>777777</v>
      </c>
      <c r="F36" s="7">
        <v>55555</v>
      </c>
      <c r="G36" s="7">
        <v>4444</v>
      </c>
      <c r="H36" s="7">
        <v>33333</v>
      </c>
    </row>
    <row r="37" spans="1:8" x14ac:dyDescent="0.4">
      <c r="A37" s="55" t="s">
        <v>597</v>
      </c>
      <c r="B37" s="59">
        <v>1111111</v>
      </c>
      <c r="C37" s="7">
        <v>99999</v>
      </c>
      <c r="D37" s="7">
        <v>8888</v>
      </c>
      <c r="E37" s="7">
        <v>777777</v>
      </c>
      <c r="F37" s="7">
        <v>55555</v>
      </c>
      <c r="G37" s="7">
        <v>4444</v>
      </c>
      <c r="H37" s="7">
        <v>33333</v>
      </c>
    </row>
    <row r="38" spans="1:8" x14ac:dyDescent="0.4">
      <c r="A38" s="55" t="s">
        <v>598</v>
      </c>
      <c r="B38" s="59">
        <v>1111111</v>
      </c>
      <c r="C38" s="7">
        <v>99999</v>
      </c>
      <c r="D38" s="7">
        <v>8888</v>
      </c>
      <c r="E38" s="7">
        <v>777777</v>
      </c>
      <c r="F38" s="7">
        <v>55555</v>
      </c>
      <c r="G38" s="7">
        <v>4444</v>
      </c>
      <c r="H38" s="7">
        <v>33333</v>
      </c>
    </row>
    <row r="39" spans="1:8" x14ac:dyDescent="0.4">
      <c r="A39" s="55" t="s">
        <v>599</v>
      </c>
      <c r="B39" s="59">
        <v>1111111</v>
      </c>
      <c r="C39" s="7">
        <v>99999</v>
      </c>
      <c r="D39" s="7">
        <v>8888</v>
      </c>
      <c r="E39" s="7">
        <v>777777</v>
      </c>
      <c r="F39" s="7">
        <v>55555</v>
      </c>
      <c r="G39" s="7">
        <v>4444</v>
      </c>
      <c r="H39" s="7">
        <v>33333</v>
      </c>
    </row>
    <row r="40" spans="1:8" x14ac:dyDescent="0.4">
      <c r="A40" s="55" t="s">
        <v>600</v>
      </c>
      <c r="B40" s="59">
        <v>1111111</v>
      </c>
      <c r="C40" s="7">
        <v>99999</v>
      </c>
      <c r="D40" s="7">
        <v>8888</v>
      </c>
      <c r="E40" s="7">
        <v>777777</v>
      </c>
      <c r="F40" s="7">
        <v>55555</v>
      </c>
      <c r="G40" s="7">
        <v>4444</v>
      </c>
      <c r="H40" s="7">
        <v>33333</v>
      </c>
    </row>
    <row r="41" spans="1:8" x14ac:dyDescent="0.4">
      <c r="A41" s="55" t="s">
        <v>601</v>
      </c>
      <c r="B41" s="59">
        <v>1111111</v>
      </c>
      <c r="C41" s="7">
        <v>99999</v>
      </c>
      <c r="D41" s="7">
        <v>8888</v>
      </c>
      <c r="E41" s="7">
        <v>777777</v>
      </c>
      <c r="F41" s="7">
        <v>55555</v>
      </c>
      <c r="G41" s="7">
        <v>4444</v>
      </c>
      <c r="H41" s="7">
        <v>33333</v>
      </c>
    </row>
    <row r="42" spans="1:8" x14ac:dyDescent="0.4">
      <c r="A42" s="55" t="s">
        <v>602</v>
      </c>
      <c r="B42" s="59">
        <v>1111111</v>
      </c>
      <c r="C42" s="7">
        <v>99999</v>
      </c>
      <c r="D42" s="7">
        <v>8888</v>
      </c>
      <c r="E42" s="7">
        <v>777777</v>
      </c>
      <c r="F42" s="7">
        <v>55555</v>
      </c>
      <c r="G42" s="7">
        <v>4444</v>
      </c>
      <c r="H42" s="7">
        <v>33333</v>
      </c>
    </row>
    <row r="43" spans="1:8" x14ac:dyDescent="0.4">
      <c r="A43" s="55" t="s">
        <v>603</v>
      </c>
      <c r="B43" s="59">
        <v>1111111</v>
      </c>
      <c r="C43" s="7">
        <v>99999</v>
      </c>
      <c r="D43" s="7">
        <v>8888</v>
      </c>
      <c r="E43" s="7">
        <v>777777</v>
      </c>
      <c r="F43" s="7">
        <v>55555</v>
      </c>
      <c r="G43" s="7">
        <v>4444</v>
      </c>
      <c r="H43" s="7">
        <v>33333</v>
      </c>
    </row>
    <row r="44" spans="1:8" x14ac:dyDescent="0.4">
      <c r="A44" s="55" t="s">
        <v>604</v>
      </c>
      <c r="B44" s="59">
        <v>1111111</v>
      </c>
      <c r="C44" s="7">
        <v>99999</v>
      </c>
      <c r="D44" s="7">
        <v>8888</v>
      </c>
      <c r="E44" s="7">
        <v>777777</v>
      </c>
      <c r="F44" s="7">
        <v>55555</v>
      </c>
      <c r="G44" s="7">
        <v>4444</v>
      </c>
      <c r="H44" s="7">
        <v>33333</v>
      </c>
    </row>
    <row r="45" spans="1:8" x14ac:dyDescent="0.4">
      <c r="A45" s="55" t="s">
        <v>605</v>
      </c>
      <c r="B45" s="59">
        <v>1111111</v>
      </c>
      <c r="C45" s="7">
        <v>99999</v>
      </c>
      <c r="D45" s="7">
        <v>8888</v>
      </c>
      <c r="E45" s="7">
        <v>777777</v>
      </c>
      <c r="F45" s="7">
        <v>55555</v>
      </c>
      <c r="G45" s="7">
        <v>4444</v>
      </c>
      <c r="H45" s="7">
        <v>33333</v>
      </c>
    </row>
    <row r="46" spans="1:8" x14ac:dyDescent="0.4">
      <c r="A46" s="55" t="s">
        <v>606</v>
      </c>
      <c r="B46" s="59">
        <v>1111111</v>
      </c>
      <c r="C46" s="7">
        <v>99999</v>
      </c>
      <c r="D46" s="7">
        <v>8888</v>
      </c>
      <c r="E46" s="7">
        <v>777777</v>
      </c>
      <c r="F46" s="7">
        <v>55555</v>
      </c>
      <c r="G46" s="7">
        <v>4444</v>
      </c>
      <c r="H46" s="7">
        <v>33333</v>
      </c>
    </row>
    <row r="47" spans="1:8" x14ac:dyDescent="0.4">
      <c r="A47" s="55" t="s">
        <v>607</v>
      </c>
      <c r="B47" s="59">
        <v>1111111</v>
      </c>
      <c r="C47" s="7">
        <v>99999</v>
      </c>
      <c r="D47" s="7">
        <v>8888</v>
      </c>
      <c r="E47" s="7">
        <v>777777</v>
      </c>
      <c r="F47" s="7">
        <v>55555</v>
      </c>
      <c r="G47" s="7">
        <v>4444</v>
      </c>
      <c r="H47" s="7">
        <v>33333</v>
      </c>
    </row>
    <row r="48" spans="1:8" x14ac:dyDescent="0.4">
      <c r="A48" s="55" t="s">
        <v>608</v>
      </c>
      <c r="B48" s="59">
        <v>1111111</v>
      </c>
      <c r="C48" s="7">
        <v>99999</v>
      </c>
      <c r="D48" s="7">
        <v>8888</v>
      </c>
      <c r="E48" s="7">
        <v>777777</v>
      </c>
      <c r="F48" s="7">
        <v>55555</v>
      </c>
      <c r="G48" s="7">
        <v>4444</v>
      </c>
      <c r="H48" s="7">
        <v>33333</v>
      </c>
    </row>
    <row r="49" spans="1:8" x14ac:dyDescent="0.4">
      <c r="A49" s="55" t="s">
        <v>609</v>
      </c>
      <c r="B49" s="59">
        <v>1111111</v>
      </c>
      <c r="C49" s="7">
        <v>99999</v>
      </c>
      <c r="D49" s="7">
        <v>8888</v>
      </c>
      <c r="E49" s="7">
        <v>777777</v>
      </c>
      <c r="F49" s="7">
        <v>55555</v>
      </c>
      <c r="G49" s="7">
        <v>4444</v>
      </c>
      <c r="H49" s="7">
        <v>33333</v>
      </c>
    </row>
    <row r="50" spans="1:8" x14ac:dyDescent="0.4">
      <c r="A50" s="55" t="s">
        <v>610</v>
      </c>
      <c r="B50" s="58">
        <v>1111111</v>
      </c>
      <c r="C50" s="6">
        <v>99999</v>
      </c>
      <c r="D50" s="6">
        <v>8888</v>
      </c>
      <c r="E50" s="6">
        <v>777777</v>
      </c>
      <c r="F50" s="6">
        <v>55555</v>
      </c>
      <c r="G50" s="6">
        <v>4444</v>
      </c>
      <c r="H50" s="6">
        <v>33333</v>
      </c>
    </row>
    <row r="51" spans="1:8" x14ac:dyDescent="0.4">
      <c r="A51" s="55" t="s">
        <v>611</v>
      </c>
      <c r="B51" s="59"/>
      <c r="C51" s="7"/>
      <c r="D51" s="7"/>
      <c r="E51" s="7"/>
      <c r="F51" s="7"/>
      <c r="G51" s="7"/>
      <c r="H51" s="7"/>
    </row>
    <row r="52" spans="1:8" x14ac:dyDescent="0.4">
      <c r="A52" s="55" t="s">
        <v>612</v>
      </c>
      <c r="B52" s="59">
        <v>1111111</v>
      </c>
      <c r="C52" s="7">
        <v>99999</v>
      </c>
      <c r="D52" s="7">
        <v>8888</v>
      </c>
      <c r="E52" s="7">
        <v>777777</v>
      </c>
      <c r="F52" s="7">
        <v>55555</v>
      </c>
      <c r="G52" s="7">
        <v>4444</v>
      </c>
      <c r="H52" s="7">
        <v>33333</v>
      </c>
    </row>
    <row r="53" spans="1:8" x14ac:dyDescent="0.4">
      <c r="A53" s="55" t="s">
        <v>613</v>
      </c>
      <c r="B53" s="59">
        <v>1111111</v>
      </c>
      <c r="C53" s="7">
        <v>99999</v>
      </c>
      <c r="D53" s="7">
        <v>8888</v>
      </c>
      <c r="E53" s="7">
        <v>777777</v>
      </c>
      <c r="F53" s="7">
        <v>55555</v>
      </c>
      <c r="G53" s="7">
        <v>4444</v>
      </c>
      <c r="H53" s="7">
        <v>33333</v>
      </c>
    </row>
    <row r="54" spans="1:8" x14ac:dyDescent="0.4">
      <c r="A54" s="55" t="s">
        <v>614</v>
      </c>
      <c r="B54" s="59">
        <v>1111111</v>
      </c>
      <c r="C54" s="7">
        <v>99999</v>
      </c>
      <c r="D54" s="7">
        <v>8888</v>
      </c>
      <c r="E54" s="7">
        <v>777777</v>
      </c>
      <c r="F54" s="7">
        <v>55555</v>
      </c>
      <c r="G54" s="7">
        <v>4444</v>
      </c>
      <c r="H54" s="7">
        <v>33333</v>
      </c>
    </row>
    <row r="55" spans="1:8" x14ac:dyDescent="0.4">
      <c r="A55" s="55" t="s">
        <v>615</v>
      </c>
      <c r="B55" s="59">
        <v>1111111</v>
      </c>
      <c r="C55" s="7">
        <v>99999</v>
      </c>
      <c r="D55" s="7">
        <v>8888</v>
      </c>
      <c r="E55" s="7">
        <v>777777</v>
      </c>
      <c r="F55" s="7">
        <v>55555</v>
      </c>
      <c r="G55" s="7">
        <v>4444</v>
      </c>
      <c r="H55" s="7">
        <v>33333</v>
      </c>
    </row>
    <row r="56" spans="1:8" x14ac:dyDescent="0.4">
      <c r="A56" s="55" t="s">
        <v>616</v>
      </c>
      <c r="B56" s="58">
        <v>1111111</v>
      </c>
      <c r="C56" s="6">
        <v>99999</v>
      </c>
      <c r="D56" s="6">
        <v>8888</v>
      </c>
      <c r="E56" s="6">
        <v>777777</v>
      </c>
      <c r="F56" s="6">
        <v>55555</v>
      </c>
      <c r="G56" s="6">
        <v>4444</v>
      </c>
      <c r="H56" s="6">
        <v>33333</v>
      </c>
    </row>
    <row r="57" spans="1:8" x14ac:dyDescent="0.4">
      <c r="A57" s="55" t="s">
        <v>617</v>
      </c>
      <c r="B57" s="59">
        <v>1111111</v>
      </c>
      <c r="C57" s="7">
        <v>99999</v>
      </c>
      <c r="D57" s="7">
        <v>8888</v>
      </c>
      <c r="E57" s="7">
        <v>777777</v>
      </c>
      <c r="F57" s="7">
        <v>55555</v>
      </c>
      <c r="G57" s="7">
        <v>4444</v>
      </c>
      <c r="H57" s="7">
        <v>33333</v>
      </c>
    </row>
    <row r="58" spans="1:8" x14ac:dyDescent="0.4">
      <c r="A58" s="55" t="s">
        <v>618</v>
      </c>
      <c r="B58" s="59"/>
      <c r="C58" s="7"/>
      <c r="D58" s="7"/>
      <c r="E58" s="7"/>
      <c r="F58" s="7"/>
      <c r="G58" s="7"/>
      <c r="H58" s="7"/>
    </row>
    <row r="59" spans="1:8" x14ac:dyDescent="0.4">
      <c r="A59" s="55" t="s">
        <v>619</v>
      </c>
      <c r="B59" s="59">
        <v>1111111</v>
      </c>
      <c r="C59" s="7">
        <v>99999</v>
      </c>
      <c r="D59" s="7">
        <v>8888</v>
      </c>
      <c r="E59" s="7">
        <v>777777</v>
      </c>
      <c r="F59" s="7">
        <v>55555</v>
      </c>
      <c r="G59" s="7">
        <v>4444</v>
      </c>
      <c r="H59" s="7">
        <v>33333</v>
      </c>
    </row>
    <row r="60" spans="1:8" x14ac:dyDescent="0.4">
      <c r="A60" s="55" t="s">
        <v>620</v>
      </c>
      <c r="B60" s="59">
        <v>1111111</v>
      </c>
      <c r="C60" s="7">
        <v>99999</v>
      </c>
      <c r="D60" s="7">
        <v>8888</v>
      </c>
      <c r="E60" s="7">
        <v>777777</v>
      </c>
      <c r="F60" s="7">
        <v>55555</v>
      </c>
      <c r="G60" s="7">
        <v>4444</v>
      </c>
      <c r="H60" s="7">
        <v>33333</v>
      </c>
    </row>
    <row r="61" spans="1:8" x14ac:dyDescent="0.4">
      <c r="A61" s="55" t="s">
        <v>621</v>
      </c>
      <c r="B61" s="59">
        <v>1111111</v>
      </c>
      <c r="C61" s="7">
        <v>99999</v>
      </c>
      <c r="D61" s="7">
        <v>8888</v>
      </c>
      <c r="E61" s="7">
        <v>777777</v>
      </c>
      <c r="F61" s="7">
        <v>55555</v>
      </c>
      <c r="G61" s="7">
        <v>4444</v>
      </c>
      <c r="H61" s="7">
        <v>33333</v>
      </c>
    </row>
    <row r="62" spans="1:8" x14ac:dyDescent="0.4">
      <c r="A62" s="55" t="s">
        <v>622</v>
      </c>
      <c r="B62" s="59">
        <v>1111111</v>
      </c>
      <c r="C62" s="7">
        <v>99999</v>
      </c>
      <c r="D62" s="7">
        <v>8888</v>
      </c>
      <c r="E62" s="7">
        <v>777777</v>
      </c>
      <c r="F62" s="7">
        <v>55555</v>
      </c>
      <c r="G62" s="7">
        <v>4444</v>
      </c>
      <c r="H62" s="7">
        <v>33333</v>
      </c>
    </row>
    <row r="63" spans="1:8" x14ac:dyDescent="0.4">
      <c r="A63" s="55" t="s">
        <v>623</v>
      </c>
      <c r="B63" s="59"/>
      <c r="C63" s="7"/>
      <c r="D63" s="7"/>
      <c r="E63" s="7"/>
      <c r="F63" s="7"/>
      <c r="G63" s="7"/>
      <c r="H63" s="7"/>
    </row>
    <row r="64" spans="1:8" x14ac:dyDescent="0.4">
      <c r="A64" s="55" t="s">
        <v>624</v>
      </c>
      <c r="B64" s="59">
        <v>1111111</v>
      </c>
      <c r="C64" s="7">
        <v>99999</v>
      </c>
      <c r="D64" s="7">
        <v>8888</v>
      </c>
      <c r="E64" s="7">
        <v>777777</v>
      </c>
      <c r="F64" s="7">
        <v>55555</v>
      </c>
      <c r="G64" s="7">
        <v>4444</v>
      </c>
      <c r="H64" s="7">
        <v>33333</v>
      </c>
    </row>
    <row r="65" spans="1:8" x14ac:dyDescent="0.4">
      <c r="A65" s="55" t="s">
        <v>625</v>
      </c>
      <c r="B65" s="59"/>
      <c r="C65" s="7"/>
      <c r="D65" s="7"/>
      <c r="E65" s="7"/>
      <c r="F65" s="7"/>
      <c r="G65" s="7"/>
      <c r="H65" s="7"/>
    </row>
    <row r="66" spans="1:8" x14ac:dyDescent="0.4">
      <c r="A66" s="55" t="s">
        <v>626</v>
      </c>
      <c r="B66" s="59">
        <v>1111111</v>
      </c>
      <c r="C66" s="7">
        <v>99999</v>
      </c>
      <c r="D66" s="7">
        <v>8888</v>
      </c>
      <c r="E66" s="7">
        <v>777777</v>
      </c>
      <c r="F66" s="7">
        <v>55555</v>
      </c>
      <c r="G66" s="7">
        <v>4444</v>
      </c>
      <c r="H66" s="7">
        <v>33333</v>
      </c>
    </row>
    <row r="67" spans="1:8" x14ac:dyDescent="0.4">
      <c r="A67" s="55" t="s">
        <v>627</v>
      </c>
      <c r="B67" s="59"/>
      <c r="C67" s="7"/>
      <c r="D67" s="7"/>
      <c r="E67" s="7"/>
      <c r="F67" s="7"/>
      <c r="G67" s="7"/>
      <c r="H67" s="7"/>
    </row>
    <row r="68" spans="1:8" x14ac:dyDescent="0.4">
      <c r="A68" s="55" t="s">
        <v>628</v>
      </c>
      <c r="B68" s="59">
        <v>1111111</v>
      </c>
      <c r="C68" s="7">
        <v>99999</v>
      </c>
      <c r="D68" s="7">
        <v>8888</v>
      </c>
      <c r="E68" s="7">
        <v>777777</v>
      </c>
      <c r="F68" s="7">
        <v>55555</v>
      </c>
      <c r="G68" s="7">
        <v>4444</v>
      </c>
      <c r="H68" s="7">
        <v>33333</v>
      </c>
    </row>
    <row r="69" spans="1:8" x14ac:dyDescent="0.4">
      <c r="A69" s="55" t="s">
        <v>629</v>
      </c>
      <c r="B69" s="59">
        <v>1111111</v>
      </c>
      <c r="C69" s="7">
        <v>99999</v>
      </c>
      <c r="D69" s="7">
        <v>8888</v>
      </c>
      <c r="E69" s="7">
        <v>777777</v>
      </c>
      <c r="F69" s="7">
        <v>55555</v>
      </c>
      <c r="G69" s="7">
        <v>4444</v>
      </c>
      <c r="H69" s="7">
        <v>33333</v>
      </c>
    </row>
    <row r="70" spans="1:8" x14ac:dyDescent="0.4">
      <c r="A70" s="55" t="s">
        <v>630</v>
      </c>
      <c r="B70" s="59">
        <v>1111111</v>
      </c>
      <c r="C70" s="7">
        <v>99999</v>
      </c>
      <c r="D70" s="7">
        <v>8888</v>
      </c>
      <c r="E70" s="7">
        <v>777777</v>
      </c>
      <c r="F70" s="7">
        <v>55555</v>
      </c>
      <c r="G70" s="7">
        <v>4444</v>
      </c>
      <c r="H70" s="7">
        <v>33333</v>
      </c>
    </row>
  </sheetData>
  <mergeCells count="1">
    <mergeCell ref="A1:C1"/>
  </mergeCells>
  <phoneticPr fontId="3"/>
  <pageMargins left="0.70866141732283461" right="0.70866141732283461" top="0.74803149606299213" bottom="0.74803149606299213" header="0.31496062992125984" footer="0.31496062992125984"/>
  <pageSetup paperSize="8" scale="80" orientation="portrait"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3DC8-CA3F-4461-95E5-6CEB855D483B}">
  <sheetPr>
    <pageSetUpPr fitToPage="1"/>
  </sheetPr>
  <dimension ref="A1:H97"/>
  <sheetViews>
    <sheetView view="pageBreakPreview" zoomScaleNormal="100" zoomScaleSheetLayoutView="100" workbookViewId="0">
      <selection sqref="A1:C1"/>
    </sheetView>
  </sheetViews>
  <sheetFormatPr defaultRowHeight="18.75" x14ac:dyDescent="0.4"/>
  <cols>
    <col min="1" max="1" width="27.25" customWidth="1"/>
    <col min="2" max="2" width="15.375" customWidth="1"/>
    <col min="3" max="8" width="16.625" customWidth="1"/>
  </cols>
  <sheetData>
    <row r="1" spans="1:8" ht="33" x14ac:dyDescent="0.4">
      <c r="A1" s="439" t="s">
        <v>742</v>
      </c>
      <c r="B1" s="439"/>
      <c r="C1" s="439"/>
    </row>
    <row r="2" spans="1:8" x14ac:dyDescent="0.4">
      <c r="A2" s="62" t="s">
        <v>646</v>
      </c>
      <c r="B2" s="62"/>
      <c r="C2" s="62" t="s">
        <v>631</v>
      </c>
      <c r="D2" s="62"/>
      <c r="E2" s="62"/>
      <c r="F2" s="62"/>
      <c r="G2" s="62"/>
      <c r="H2" s="62"/>
    </row>
    <row r="3" spans="1:8" ht="36.75" customHeight="1" x14ac:dyDescent="0.4">
      <c r="A3" s="63" t="s">
        <v>563</v>
      </c>
      <c r="B3" s="63" t="s">
        <v>356</v>
      </c>
      <c r="C3" s="64" t="s">
        <v>633</v>
      </c>
      <c r="D3" s="65" t="s">
        <v>635</v>
      </c>
      <c r="E3" s="65" t="s">
        <v>639</v>
      </c>
      <c r="F3" s="65" t="s">
        <v>637</v>
      </c>
      <c r="G3" s="65" t="s">
        <v>641</v>
      </c>
      <c r="H3" s="65" t="s">
        <v>643</v>
      </c>
    </row>
    <row r="4" spans="1:8" x14ac:dyDescent="0.4">
      <c r="A4" s="55" t="s">
        <v>647</v>
      </c>
      <c r="B4" s="66"/>
      <c r="C4" s="7"/>
      <c r="D4" s="7"/>
      <c r="E4" s="7"/>
      <c r="F4" s="7"/>
      <c r="G4" s="7"/>
      <c r="H4" s="7"/>
    </row>
    <row r="5" spans="1:8" x14ac:dyDescent="0.4">
      <c r="A5" s="55" t="s">
        <v>648</v>
      </c>
      <c r="B5" s="66">
        <v>999999</v>
      </c>
      <c r="C5" s="7">
        <v>999999</v>
      </c>
      <c r="D5" s="7">
        <v>999999</v>
      </c>
      <c r="E5" s="7">
        <v>999999</v>
      </c>
      <c r="F5" s="7">
        <v>999999</v>
      </c>
      <c r="G5" s="7">
        <v>999999</v>
      </c>
      <c r="H5" s="7">
        <v>999999</v>
      </c>
    </row>
    <row r="6" spans="1:8" x14ac:dyDescent="0.4">
      <c r="A6" s="55" t="s">
        <v>649</v>
      </c>
      <c r="B6" s="66">
        <v>999999</v>
      </c>
      <c r="C6" s="7">
        <v>999999</v>
      </c>
      <c r="D6" s="7">
        <v>999999</v>
      </c>
      <c r="E6" s="7">
        <v>999999</v>
      </c>
      <c r="F6" s="7">
        <v>999999</v>
      </c>
      <c r="G6" s="7">
        <v>999999</v>
      </c>
      <c r="H6" s="7">
        <v>999999</v>
      </c>
    </row>
    <row r="7" spans="1:8" x14ac:dyDescent="0.4">
      <c r="A7" s="55" t="s">
        <v>650</v>
      </c>
      <c r="B7" s="66">
        <v>999999</v>
      </c>
      <c r="C7" s="7">
        <v>999999</v>
      </c>
      <c r="D7" s="7">
        <v>999999</v>
      </c>
      <c r="E7" s="7">
        <v>999999</v>
      </c>
      <c r="F7" s="7">
        <v>999999</v>
      </c>
      <c r="G7" s="7">
        <v>999999</v>
      </c>
      <c r="H7" s="7">
        <v>999999</v>
      </c>
    </row>
    <row r="8" spans="1:8" x14ac:dyDescent="0.4">
      <c r="A8" s="55" t="s">
        <v>651</v>
      </c>
      <c r="B8" s="66">
        <v>999999</v>
      </c>
      <c r="C8" s="7">
        <v>999999</v>
      </c>
      <c r="D8" s="7">
        <v>999999</v>
      </c>
      <c r="E8" s="7">
        <v>999999</v>
      </c>
      <c r="F8" s="7">
        <v>999999</v>
      </c>
      <c r="G8" s="7">
        <v>999999</v>
      </c>
      <c r="H8" s="7">
        <v>999999</v>
      </c>
    </row>
    <row r="9" spans="1:8" x14ac:dyDescent="0.4">
      <c r="A9" s="55" t="s">
        <v>652</v>
      </c>
      <c r="B9" s="66"/>
      <c r="C9" s="7"/>
      <c r="D9" s="7"/>
      <c r="E9" s="7"/>
      <c r="F9" s="7"/>
      <c r="G9" s="7"/>
      <c r="H9" s="7"/>
    </row>
    <row r="10" spans="1:8" x14ac:dyDescent="0.4">
      <c r="A10" s="55" t="s">
        <v>653</v>
      </c>
      <c r="B10" s="66">
        <v>999999</v>
      </c>
      <c r="C10" s="7">
        <v>999999</v>
      </c>
      <c r="D10" s="7">
        <v>999999</v>
      </c>
      <c r="E10" s="7">
        <v>999999</v>
      </c>
      <c r="F10" s="7">
        <v>999999</v>
      </c>
      <c r="G10" s="7">
        <v>999999</v>
      </c>
      <c r="H10" s="7">
        <v>999999</v>
      </c>
    </row>
    <row r="11" spans="1:8" x14ac:dyDescent="0.4">
      <c r="A11" s="55" t="s">
        <v>654</v>
      </c>
      <c r="B11" s="66">
        <v>999999</v>
      </c>
      <c r="C11" s="7">
        <v>999999</v>
      </c>
      <c r="D11" s="7">
        <v>999999</v>
      </c>
      <c r="E11" s="7">
        <v>999999</v>
      </c>
      <c r="F11" s="7">
        <v>999999</v>
      </c>
      <c r="G11" s="7">
        <v>999999</v>
      </c>
      <c r="H11" s="7">
        <v>999999</v>
      </c>
    </row>
    <row r="12" spans="1:8" x14ac:dyDescent="0.4">
      <c r="A12" s="55" t="s">
        <v>655</v>
      </c>
      <c r="B12" s="66"/>
      <c r="C12" s="7"/>
      <c r="D12" s="7"/>
      <c r="E12" s="7"/>
      <c r="F12" s="7"/>
      <c r="G12" s="7"/>
      <c r="H12" s="7"/>
    </row>
    <row r="13" spans="1:8" x14ac:dyDescent="0.4">
      <c r="A13" s="55" t="s">
        <v>656</v>
      </c>
      <c r="B13" s="66">
        <v>999999</v>
      </c>
      <c r="C13" s="7">
        <v>999999</v>
      </c>
      <c r="D13" s="7">
        <v>999999</v>
      </c>
      <c r="E13" s="7">
        <v>999999</v>
      </c>
      <c r="F13" s="7">
        <v>999999</v>
      </c>
      <c r="G13" s="7">
        <v>999999</v>
      </c>
      <c r="H13" s="7">
        <v>999999</v>
      </c>
    </row>
    <row r="14" spans="1:8" x14ac:dyDescent="0.4">
      <c r="A14" s="55" t="s">
        <v>657</v>
      </c>
      <c r="B14" s="66"/>
      <c r="C14" s="7"/>
      <c r="D14" s="7"/>
      <c r="E14" s="7"/>
      <c r="F14" s="7"/>
      <c r="G14" s="7"/>
      <c r="H14" s="7"/>
    </row>
    <row r="15" spans="1:8" x14ac:dyDescent="0.4">
      <c r="A15" s="55" t="s">
        <v>658</v>
      </c>
      <c r="B15" s="66">
        <v>999999</v>
      </c>
      <c r="C15" s="7">
        <v>999999</v>
      </c>
      <c r="D15" s="7">
        <v>999999</v>
      </c>
      <c r="E15" s="7">
        <v>999999</v>
      </c>
      <c r="F15" s="7">
        <v>999999</v>
      </c>
      <c r="G15" s="7">
        <v>999999</v>
      </c>
      <c r="H15" s="7">
        <v>999999</v>
      </c>
    </row>
    <row r="16" spans="1:8" x14ac:dyDescent="0.4">
      <c r="A16" s="55" t="s">
        <v>659</v>
      </c>
      <c r="B16" s="66"/>
      <c r="C16" s="7"/>
      <c r="D16" s="7"/>
      <c r="E16" s="7"/>
      <c r="F16" s="7"/>
      <c r="G16" s="7"/>
      <c r="H16" s="7"/>
    </row>
    <row r="17" spans="1:8" x14ac:dyDescent="0.4">
      <c r="A17" s="55" t="s">
        <v>660</v>
      </c>
      <c r="B17" s="66">
        <v>999999</v>
      </c>
      <c r="C17" s="7">
        <v>999999</v>
      </c>
      <c r="D17" s="7">
        <v>999999</v>
      </c>
      <c r="E17" s="7">
        <v>999999</v>
      </c>
      <c r="F17" s="7">
        <v>999999</v>
      </c>
      <c r="G17" s="7">
        <v>999999</v>
      </c>
      <c r="H17" s="7">
        <v>999999</v>
      </c>
    </row>
    <row r="18" spans="1:8" x14ac:dyDescent="0.4">
      <c r="A18" s="55" t="s">
        <v>661</v>
      </c>
      <c r="B18" s="66">
        <v>999999</v>
      </c>
      <c r="C18" s="7">
        <v>999999</v>
      </c>
      <c r="D18" s="7">
        <v>999999</v>
      </c>
      <c r="E18" s="7">
        <v>999999</v>
      </c>
      <c r="F18" s="7">
        <v>999999</v>
      </c>
      <c r="G18" s="7">
        <v>999999</v>
      </c>
      <c r="H18" s="7">
        <v>999999</v>
      </c>
    </row>
    <row r="19" spans="1:8" x14ac:dyDescent="0.4">
      <c r="A19" s="55" t="s">
        <v>662</v>
      </c>
      <c r="B19" s="66">
        <v>999999</v>
      </c>
      <c r="C19" s="7">
        <v>999999</v>
      </c>
      <c r="D19" s="7">
        <v>999999</v>
      </c>
      <c r="E19" s="7">
        <v>999999</v>
      </c>
      <c r="F19" s="7">
        <v>999999</v>
      </c>
      <c r="G19" s="7">
        <v>999999</v>
      </c>
      <c r="H19" s="7">
        <v>999999</v>
      </c>
    </row>
    <row r="20" spans="1:8" x14ac:dyDescent="0.4">
      <c r="A20" s="55" t="s">
        <v>663</v>
      </c>
      <c r="B20" s="66">
        <v>999999</v>
      </c>
      <c r="C20" s="7">
        <v>999999</v>
      </c>
      <c r="D20" s="7">
        <v>999999</v>
      </c>
      <c r="E20" s="7">
        <v>999999</v>
      </c>
      <c r="F20" s="7">
        <v>999999</v>
      </c>
      <c r="G20" s="7">
        <v>999999</v>
      </c>
      <c r="H20" s="7">
        <v>999999</v>
      </c>
    </row>
    <row r="21" spans="1:8" x14ac:dyDescent="0.4">
      <c r="A21" s="55" t="s">
        <v>664</v>
      </c>
      <c r="B21" s="66">
        <v>999999</v>
      </c>
      <c r="C21" s="7">
        <v>999999</v>
      </c>
      <c r="D21" s="7">
        <v>999999</v>
      </c>
      <c r="E21" s="7">
        <v>999999</v>
      </c>
      <c r="F21" s="7">
        <v>999999</v>
      </c>
      <c r="G21" s="7">
        <v>999999</v>
      </c>
      <c r="H21" s="7">
        <v>999999</v>
      </c>
    </row>
    <row r="22" spans="1:8" x14ac:dyDescent="0.4">
      <c r="A22" s="55" t="s">
        <v>665</v>
      </c>
      <c r="B22" s="66">
        <v>999999</v>
      </c>
      <c r="C22" s="7">
        <v>999999</v>
      </c>
      <c r="D22" s="7">
        <v>999999</v>
      </c>
      <c r="E22" s="7">
        <v>999999</v>
      </c>
      <c r="F22" s="7">
        <v>999999</v>
      </c>
      <c r="G22" s="7">
        <v>999999</v>
      </c>
      <c r="H22" s="7">
        <v>999999</v>
      </c>
    </row>
    <row r="23" spans="1:8" x14ac:dyDescent="0.4">
      <c r="A23" s="55" t="s">
        <v>666</v>
      </c>
      <c r="B23" s="66">
        <v>999999</v>
      </c>
      <c r="C23" s="7">
        <v>999999</v>
      </c>
      <c r="D23" s="7">
        <v>999999</v>
      </c>
      <c r="E23" s="7">
        <v>999999</v>
      </c>
      <c r="F23" s="7">
        <v>999999</v>
      </c>
      <c r="G23" s="7">
        <v>999999</v>
      </c>
      <c r="H23" s="7">
        <v>999999</v>
      </c>
    </row>
    <row r="24" spans="1:8" x14ac:dyDescent="0.4">
      <c r="A24" s="55" t="s">
        <v>667</v>
      </c>
      <c r="B24" s="66">
        <v>999999</v>
      </c>
      <c r="C24" s="7">
        <v>999999</v>
      </c>
      <c r="D24" s="7">
        <v>999999</v>
      </c>
      <c r="E24" s="7">
        <v>999999</v>
      </c>
      <c r="F24" s="7">
        <v>999999</v>
      </c>
      <c r="G24" s="7">
        <v>999999</v>
      </c>
      <c r="H24" s="7">
        <v>999999</v>
      </c>
    </row>
    <row r="25" spans="1:8" x14ac:dyDescent="0.4">
      <c r="A25" s="55" t="s">
        <v>668</v>
      </c>
      <c r="B25" s="66">
        <v>999999</v>
      </c>
      <c r="C25" s="7">
        <v>999999</v>
      </c>
      <c r="D25" s="7">
        <v>999999</v>
      </c>
      <c r="E25" s="7">
        <v>999999</v>
      </c>
      <c r="F25" s="7">
        <v>999999</v>
      </c>
      <c r="G25" s="7">
        <v>999999</v>
      </c>
      <c r="H25" s="7">
        <v>999999</v>
      </c>
    </row>
    <row r="26" spans="1:8" x14ac:dyDescent="0.4">
      <c r="A26" s="55" t="s">
        <v>669</v>
      </c>
      <c r="B26" s="66"/>
      <c r="C26" s="7"/>
      <c r="D26" s="7"/>
      <c r="E26" s="7"/>
      <c r="F26" s="7"/>
      <c r="G26" s="7"/>
      <c r="H26" s="7"/>
    </row>
    <row r="27" spans="1:8" x14ac:dyDescent="0.4">
      <c r="A27" s="55" t="s">
        <v>670</v>
      </c>
      <c r="B27" s="66">
        <v>999999</v>
      </c>
      <c r="C27" s="7">
        <v>999999</v>
      </c>
      <c r="D27" s="7">
        <v>999999</v>
      </c>
      <c r="E27" s="7">
        <v>999999</v>
      </c>
      <c r="F27" s="7">
        <v>999999</v>
      </c>
      <c r="G27" s="7">
        <v>999999</v>
      </c>
      <c r="H27" s="7">
        <v>999999</v>
      </c>
    </row>
    <row r="28" spans="1:8" x14ac:dyDescent="0.4">
      <c r="A28" s="55" t="s">
        <v>671</v>
      </c>
      <c r="B28" s="66">
        <v>999999</v>
      </c>
      <c r="C28" s="7">
        <v>999999</v>
      </c>
      <c r="D28" s="7">
        <v>999999</v>
      </c>
      <c r="E28" s="7">
        <v>999999</v>
      </c>
      <c r="F28" s="7">
        <v>999999</v>
      </c>
      <c r="G28" s="7">
        <v>999999</v>
      </c>
      <c r="H28" s="7">
        <v>999999</v>
      </c>
    </row>
    <row r="29" spans="1:8" x14ac:dyDescent="0.4">
      <c r="A29" s="55" t="s">
        <v>672</v>
      </c>
      <c r="B29" s="66">
        <v>999999</v>
      </c>
      <c r="C29" s="7">
        <v>999999</v>
      </c>
      <c r="D29" s="7">
        <v>999999</v>
      </c>
      <c r="E29" s="7">
        <v>999999</v>
      </c>
      <c r="F29" s="7">
        <v>999999</v>
      </c>
      <c r="G29" s="7">
        <v>999999</v>
      </c>
      <c r="H29" s="7">
        <v>999999</v>
      </c>
    </row>
    <row r="30" spans="1:8" x14ac:dyDescent="0.4">
      <c r="A30" s="55" t="s">
        <v>673</v>
      </c>
      <c r="B30" s="66">
        <v>999999</v>
      </c>
      <c r="C30" s="7">
        <v>999999</v>
      </c>
      <c r="D30" s="7">
        <v>999999</v>
      </c>
      <c r="E30" s="7">
        <v>999999</v>
      </c>
      <c r="F30" s="7">
        <v>999999</v>
      </c>
      <c r="G30" s="7">
        <v>999999</v>
      </c>
      <c r="H30" s="7">
        <v>999999</v>
      </c>
    </row>
    <row r="31" spans="1:8" x14ac:dyDescent="0.4">
      <c r="A31" s="55" t="s">
        <v>674</v>
      </c>
      <c r="B31" s="66">
        <v>999999</v>
      </c>
      <c r="C31" s="7">
        <v>999999</v>
      </c>
      <c r="D31" s="7">
        <v>999999</v>
      </c>
      <c r="E31" s="7">
        <v>999999</v>
      </c>
      <c r="F31" s="7">
        <v>999999</v>
      </c>
      <c r="G31" s="7">
        <v>999999</v>
      </c>
      <c r="H31" s="7">
        <v>999999</v>
      </c>
    </row>
    <row r="32" spans="1:8" x14ac:dyDescent="0.4">
      <c r="A32" s="55" t="s">
        <v>675</v>
      </c>
      <c r="B32" s="66">
        <v>999999</v>
      </c>
      <c r="C32" s="7">
        <v>999999</v>
      </c>
      <c r="D32" s="7">
        <v>999999</v>
      </c>
      <c r="E32" s="7">
        <v>999999</v>
      </c>
      <c r="F32" s="7">
        <v>999999</v>
      </c>
      <c r="G32" s="7">
        <v>999999</v>
      </c>
      <c r="H32" s="7">
        <v>999999</v>
      </c>
    </row>
    <row r="33" spans="1:8" x14ac:dyDescent="0.4">
      <c r="A33" s="55" t="s">
        <v>676</v>
      </c>
      <c r="B33" s="66"/>
      <c r="C33" s="7"/>
      <c r="D33" s="7"/>
      <c r="E33" s="7"/>
      <c r="F33" s="7"/>
      <c r="G33" s="7"/>
      <c r="H33" s="7"/>
    </row>
    <row r="34" spans="1:8" x14ac:dyDescent="0.4">
      <c r="A34" s="55" t="s">
        <v>677</v>
      </c>
      <c r="B34" s="66">
        <v>999999</v>
      </c>
      <c r="C34" s="7">
        <v>999999</v>
      </c>
      <c r="D34" s="7">
        <v>999999</v>
      </c>
      <c r="E34" s="7">
        <v>999999</v>
      </c>
      <c r="F34" s="7">
        <v>999999</v>
      </c>
      <c r="G34" s="7">
        <v>999999</v>
      </c>
      <c r="H34" s="7">
        <v>999999</v>
      </c>
    </row>
    <row r="35" spans="1:8" x14ac:dyDescent="0.4">
      <c r="A35" s="55" t="s">
        <v>678</v>
      </c>
      <c r="B35" s="66"/>
      <c r="C35" s="7"/>
      <c r="D35" s="7"/>
      <c r="E35" s="7"/>
      <c r="F35" s="7"/>
      <c r="G35" s="7"/>
      <c r="H35" s="7"/>
    </row>
    <row r="36" spans="1:8" x14ac:dyDescent="0.4">
      <c r="A36" s="55" t="s">
        <v>679</v>
      </c>
      <c r="B36" s="66">
        <v>999999</v>
      </c>
      <c r="C36" s="7">
        <v>999999</v>
      </c>
      <c r="D36" s="7">
        <v>999999</v>
      </c>
      <c r="E36" s="7">
        <v>999999</v>
      </c>
      <c r="F36" s="7">
        <v>999999</v>
      </c>
      <c r="G36" s="7">
        <v>999999</v>
      </c>
      <c r="H36" s="7">
        <v>999999</v>
      </c>
    </row>
    <row r="37" spans="1:8" x14ac:dyDescent="0.4">
      <c r="A37" s="55" t="s">
        <v>680</v>
      </c>
      <c r="B37" s="66">
        <v>999999</v>
      </c>
      <c r="C37" s="7">
        <v>999999</v>
      </c>
      <c r="D37" s="7">
        <v>999999</v>
      </c>
      <c r="E37" s="7">
        <v>999999</v>
      </c>
      <c r="F37" s="7">
        <v>999999</v>
      </c>
      <c r="G37" s="7">
        <v>999999</v>
      </c>
      <c r="H37" s="7">
        <v>999999</v>
      </c>
    </row>
    <row r="38" spans="1:8" x14ac:dyDescent="0.4">
      <c r="A38" s="55" t="s">
        <v>681</v>
      </c>
      <c r="B38" s="66">
        <v>999999</v>
      </c>
      <c r="C38" s="7">
        <v>999999</v>
      </c>
      <c r="D38" s="7">
        <v>999999</v>
      </c>
      <c r="E38" s="7">
        <v>999999</v>
      </c>
      <c r="F38" s="7">
        <v>999999</v>
      </c>
      <c r="G38" s="7">
        <v>999999</v>
      </c>
      <c r="H38" s="7">
        <v>999999</v>
      </c>
    </row>
    <row r="39" spans="1:8" x14ac:dyDescent="0.4">
      <c r="A39" s="55" t="s">
        <v>682</v>
      </c>
      <c r="B39" s="66">
        <v>999999</v>
      </c>
      <c r="C39" s="7">
        <v>999999</v>
      </c>
      <c r="D39" s="7">
        <v>999999</v>
      </c>
      <c r="E39" s="7">
        <v>999999</v>
      </c>
      <c r="F39" s="7">
        <v>999999</v>
      </c>
      <c r="G39" s="7">
        <v>999999</v>
      </c>
      <c r="H39" s="7">
        <v>999999</v>
      </c>
    </row>
    <row r="40" spans="1:8" x14ac:dyDescent="0.4">
      <c r="A40" s="55" t="s">
        <v>683</v>
      </c>
      <c r="B40" s="66">
        <v>999999</v>
      </c>
      <c r="C40" s="7">
        <v>999999</v>
      </c>
      <c r="D40" s="7">
        <v>999999</v>
      </c>
      <c r="E40" s="7">
        <v>999999</v>
      </c>
      <c r="F40" s="7">
        <v>999999</v>
      </c>
      <c r="G40" s="7">
        <v>999999</v>
      </c>
      <c r="H40" s="7">
        <v>999999</v>
      </c>
    </row>
    <row r="41" spans="1:8" x14ac:dyDescent="0.4">
      <c r="A41" s="55" t="s">
        <v>684</v>
      </c>
      <c r="B41" s="66">
        <v>999999</v>
      </c>
      <c r="C41" s="7">
        <v>999999</v>
      </c>
      <c r="D41" s="7">
        <v>999999</v>
      </c>
      <c r="E41" s="7">
        <v>999999</v>
      </c>
      <c r="F41" s="7">
        <v>999999</v>
      </c>
      <c r="G41" s="7">
        <v>999999</v>
      </c>
      <c r="H41" s="7">
        <v>999999</v>
      </c>
    </row>
    <row r="42" spans="1:8" x14ac:dyDescent="0.4">
      <c r="A42" s="55" t="s">
        <v>685</v>
      </c>
      <c r="B42" s="66"/>
      <c r="C42" s="7"/>
      <c r="D42" s="7"/>
      <c r="E42" s="7"/>
      <c r="F42" s="7"/>
      <c r="G42" s="7"/>
      <c r="H42" s="7"/>
    </row>
    <row r="43" spans="1:8" x14ac:dyDescent="0.4">
      <c r="A43" s="55" t="s">
        <v>686</v>
      </c>
      <c r="B43" s="66">
        <v>999999</v>
      </c>
      <c r="C43" s="7">
        <v>999999</v>
      </c>
      <c r="D43" s="7">
        <v>999999</v>
      </c>
      <c r="E43" s="7">
        <v>999999</v>
      </c>
      <c r="F43" s="7">
        <v>999999</v>
      </c>
      <c r="G43" s="7">
        <v>999999</v>
      </c>
      <c r="H43" s="7">
        <v>999999</v>
      </c>
    </row>
    <row r="44" spans="1:8" x14ac:dyDescent="0.4">
      <c r="A44" s="55" t="s">
        <v>687</v>
      </c>
      <c r="B44" s="66"/>
      <c r="C44" s="7"/>
      <c r="D44" s="7"/>
      <c r="E44" s="7"/>
      <c r="F44" s="7"/>
      <c r="G44" s="7"/>
      <c r="H44" s="7"/>
    </row>
    <row r="45" spans="1:8" x14ac:dyDescent="0.4">
      <c r="A45" s="55" t="s">
        <v>688</v>
      </c>
      <c r="B45" s="66">
        <v>999999</v>
      </c>
      <c r="C45" s="7">
        <v>999999</v>
      </c>
      <c r="D45" s="7">
        <v>999999</v>
      </c>
      <c r="E45" s="7">
        <v>999999</v>
      </c>
      <c r="F45" s="7">
        <v>999999</v>
      </c>
      <c r="G45" s="7">
        <v>999999</v>
      </c>
      <c r="H45" s="7">
        <v>999999</v>
      </c>
    </row>
    <row r="46" spans="1:8" x14ac:dyDescent="0.4">
      <c r="A46" s="55" t="s">
        <v>689</v>
      </c>
      <c r="B46" s="66"/>
      <c r="C46" s="7"/>
      <c r="D46" s="7"/>
      <c r="E46" s="7"/>
      <c r="F46" s="7"/>
      <c r="G46" s="7"/>
      <c r="H46" s="7"/>
    </row>
    <row r="47" spans="1:8" x14ac:dyDescent="0.4">
      <c r="A47" s="55" t="s">
        <v>690</v>
      </c>
      <c r="B47" s="66">
        <v>999999</v>
      </c>
      <c r="C47" s="7">
        <v>999999</v>
      </c>
      <c r="D47" s="7">
        <v>999999</v>
      </c>
      <c r="E47" s="7">
        <v>999999</v>
      </c>
      <c r="F47" s="7">
        <v>999999</v>
      </c>
      <c r="G47" s="7">
        <v>999999</v>
      </c>
      <c r="H47" s="7">
        <v>999999</v>
      </c>
    </row>
    <row r="48" spans="1:8" x14ac:dyDescent="0.4">
      <c r="A48" s="55" t="s">
        <v>691</v>
      </c>
      <c r="B48" s="66"/>
      <c r="C48" s="7"/>
      <c r="D48" s="7"/>
      <c r="E48" s="7"/>
      <c r="F48" s="7"/>
      <c r="G48" s="7"/>
      <c r="H48" s="7"/>
    </row>
    <row r="49" spans="1:8" x14ac:dyDescent="0.4">
      <c r="A49" s="55" t="s">
        <v>692</v>
      </c>
      <c r="B49" s="66">
        <v>999999</v>
      </c>
      <c r="C49" s="7">
        <v>999999</v>
      </c>
      <c r="D49" s="7">
        <v>999999</v>
      </c>
      <c r="E49" s="7">
        <v>999999</v>
      </c>
      <c r="F49" s="7">
        <v>999999</v>
      </c>
      <c r="G49" s="7">
        <v>999999</v>
      </c>
      <c r="H49" s="7">
        <v>999999</v>
      </c>
    </row>
    <row r="50" spans="1:8" x14ac:dyDescent="0.4">
      <c r="A50" s="55" t="s">
        <v>693</v>
      </c>
      <c r="B50" s="66">
        <v>999999</v>
      </c>
      <c r="C50" s="7">
        <v>999999</v>
      </c>
      <c r="D50" s="7">
        <v>999999</v>
      </c>
      <c r="E50" s="7">
        <v>999999</v>
      </c>
      <c r="F50" s="7">
        <v>999999</v>
      </c>
      <c r="G50" s="7">
        <v>999999</v>
      </c>
      <c r="H50" s="7">
        <v>999999</v>
      </c>
    </row>
    <row r="51" spans="1:8" x14ac:dyDescent="0.4">
      <c r="A51" s="55" t="s">
        <v>694</v>
      </c>
      <c r="B51" s="66">
        <v>999999</v>
      </c>
      <c r="C51" s="7">
        <v>999999</v>
      </c>
      <c r="D51" s="7">
        <v>999999</v>
      </c>
      <c r="E51" s="7">
        <v>999999</v>
      </c>
      <c r="F51" s="7">
        <v>999999</v>
      </c>
      <c r="G51" s="7">
        <v>999999</v>
      </c>
      <c r="H51" s="7">
        <v>999999</v>
      </c>
    </row>
    <row r="52" spans="1:8" x14ac:dyDescent="0.4">
      <c r="A52" s="55" t="s">
        <v>695</v>
      </c>
      <c r="B52" s="66">
        <v>999999</v>
      </c>
      <c r="C52" s="7">
        <v>999999</v>
      </c>
      <c r="D52" s="7">
        <v>999999</v>
      </c>
      <c r="E52" s="7">
        <v>999999</v>
      </c>
      <c r="F52" s="7">
        <v>999999</v>
      </c>
      <c r="G52" s="7">
        <v>999999</v>
      </c>
      <c r="H52" s="7">
        <v>999999</v>
      </c>
    </row>
    <row r="53" spans="1:8" x14ac:dyDescent="0.4">
      <c r="A53" s="55" t="s">
        <v>696</v>
      </c>
      <c r="B53" s="66">
        <v>999999</v>
      </c>
      <c r="C53" s="7">
        <v>999999</v>
      </c>
      <c r="D53" s="7">
        <v>999999</v>
      </c>
      <c r="E53" s="7">
        <v>999999</v>
      </c>
      <c r="F53" s="7">
        <v>999999</v>
      </c>
      <c r="G53" s="7">
        <v>999999</v>
      </c>
      <c r="H53" s="7">
        <v>999999</v>
      </c>
    </row>
    <row r="54" spans="1:8" x14ac:dyDescent="0.4">
      <c r="A54" s="55" t="s">
        <v>697</v>
      </c>
      <c r="B54" s="66">
        <v>999999</v>
      </c>
      <c r="C54" s="7">
        <v>999999</v>
      </c>
      <c r="D54" s="7">
        <v>999999</v>
      </c>
      <c r="E54" s="7">
        <v>999999</v>
      </c>
      <c r="F54" s="7">
        <v>999999</v>
      </c>
      <c r="G54" s="7">
        <v>999999</v>
      </c>
      <c r="H54" s="7">
        <v>999999</v>
      </c>
    </row>
    <row r="55" spans="1:8" x14ac:dyDescent="0.4">
      <c r="A55" s="55" t="s">
        <v>698</v>
      </c>
      <c r="B55" s="66">
        <v>999999</v>
      </c>
      <c r="C55" s="7">
        <v>999999</v>
      </c>
      <c r="D55" s="7">
        <v>999999</v>
      </c>
      <c r="E55" s="7">
        <v>999999</v>
      </c>
      <c r="F55" s="7">
        <v>999999</v>
      </c>
      <c r="G55" s="7">
        <v>999999</v>
      </c>
      <c r="H55" s="7">
        <v>999999</v>
      </c>
    </row>
    <row r="56" spans="1:8" x14ac:dyDescent="0.4">
      <c r="A56" s="55" t="s">
        <v>699</v>
      </c>
      <c r="B56" s="66">
        <v>999999</v>
      </c>
      <c r="C56" s="7">
        <v>999999</v>
      </c>
      <c r="D56" s="7">
        <v>999999</v>
      </c>
      <c r="E56" s="7">
        <v>999999</v>
      </c>
      <c r="F56" s="7">
        <v>999999</v>
      </c>
      <c r="G56" s="7">
        <v>999999</v>
      </c>
      <c r="H56" s="7">
        <v>999999</v>
      </c>
    </row>
    <row r="57" spans="1:8" x14ac:dyDescent="0.4">
      <c r="A57" s="55" t="s">
        <v>700</v>
      </c>
      <c r="B57" s="66">
        <v>999999</v>
      </c>
      <c r="C57" s="7">
        <v>999999</v>
      </c>
      <c r="D57" s="7">
        <v>999999</v>
      </c>
      <c r="E57" s="7">
        <v>999999</v>
      </c>
      <c r="F57" s="7">
        <v>999999</v>
      </c>
      <c r="G57" s="7">
        <v>999999</v>
      </c>
      <c r="H57" s="7">
        <v>999999</v>
      </c>
    </row>
    <row r="58" spans="1:8" x14ac:dyDescent="0.4">
      <c r="A58" s="55" t="s">
        <v>701</v>
      </c>
      <c r="B58" s="66">
        <v>999999</v>
      </c>
      <c r="C58" s="7">
        <v>999999</v>
      </c>
      <c r="D58" s="7">
        <v>999999</v>
      </c>
      <c r="E58" s="7">
        <v>999999</v>
      </c>
      <c r="F58" s="7">
        <v>999999</v>
      </c>
      <c r="G58" s="7">
        <v>999999</v>
      </c>
      <c r="H58" s="7">
        <v>999999</v>
      </c>
    </row>
    <row r="59" spans="1:8" x14ac:dyDescent="0.4">
      <c r="A59" s="55" t="s">
        <v>702</v>
      </c>
      <c r="B59" s="66">
        <v>999999</v>
      </c>
      <c r="C59" s="7">
        <v>999999</v>
      </c>
      <c r="D59" s="7">
        <v>999999</v>
      </c>
      <c r="E59" s="7">
        <v>999999</v>
      </c>
      <c r="F59" s="7">
        <v>999999</v>
      </c>
      <c r="G59" s="7">
        <v>999999</v>
      </c>
      <c r="H59" s="7">
        <v>999999</v>
      </c>
    </row>
    <row r="60" spans="1:8" x14ac:dyDescent="0.4">
      <c r="A60" s="55" t="s">
        <v>703</v>
      </c>
      <c r="B60" s="66">
        <v>999999</v>
      </c>
      <c r="C60" s="7">
        <v>999999</v>
      </c>
      <c r="D60" s="7">
        <v>999999</v>
      </c>
      <c r="E60" s="7">
        <v>999999</v>
      </c>
      <c r="F60" s="7">
        <v>999999</v>
      </c>
      <c r="G60" s="7">
        <v>999999</v>
      </c>
      <c r="H60" s="7">
        <v>999999</v>
      </c>
    </row>
    <row r="61" spans="1:8" x14ac:dyDescent="0.4">
      <c r="A61" s="55" t="s">
        <v>704</v>
      </c>
      <c r="B61" s="66">
        <v>999999</v>
      </c>
      <c r="C61" s="7">
        <v>999999</v>
      </c>
      <c r="D61" s="7">
        <v>999999</v>
      </c>
      <c r="E61" s="7">
        <v>999999</v>
      </c>
      <c r="F61" s="7">
        <v>999999</v>
      </c>
      <c r="G61" s="7">
        <v>999999</v>
      </c>
      <c r="H61" s="7">
        <v>999999</v>
      </c>
    </row>
    <row r="62" spans="1:8" x14ac:dyDescent="0.4">
      <c r="A62" s="55" t="s">
        <v>705</v>
      </c>
      <c r="B62" s="66">
        <v>999999</v>
      </c>
      <c r="C62" s="7">
        <v>999999</v>
      </c>
      <c r="D62" s="7">
        <v>999999</v>
      </c>
      <c r="E62" s="7">
        <v>999999</v>
      </c>
      <c r="F62" s="7">
        <v>999999</v>
      </c>
      <c r="G62" s="7">
        <v>999999</v>
      </c>
      <c r="H62" s="7">
        <v>999999</v>
      </c>
    </row>
    <row r="63" spans="1:8" x14ac:dyDescent="0.4">
      <c r="A63" s="55" t="s">
        <v>706</v>
      </c>
      <c r="B63" s="66">
        <v>999999</v>
      </c>
      <c r="C63" s="7">
        <v>999999</v>
      </c>
      <c r="D63" s="7">
        <v>999999</v>
      </c>
      <c r="E63" s="7">
        <v>999999</v>
      </c>
      <c r="F63" s="7">
        <v>999999</v>
      </c>
      <c r="G63" s="7">
        <v>999999</v>
      </c>
      <c r="H63" s="7">
        <v>999999</v>
      </c>
    </row>
    <row r="64" spans="1:8" x14ac:dyDescent="0.4">
      <c r="A64" s="55" t="s">
        <v>707</v>
      </c>
      <c r="B64" s="66"/>
      <c r="C64" s="7"/>
      <c r="D64" s="7"/>
      <c r="E64" s="7"/>
      <c r="F64" s="7"/>
      <c r="G64" s="7"/>
      <c r="H64" s="7"/>
    </row>
    <row r="65" spans="1:8" x14ac:dyDescent="0.4">
      <c r="A65" s="55" t="s">
        <v>708</v>
      </c>
      <c r="B65" s="66">
        <v>999999</v>
      </c>
      <c r="C65" s="7">
        <v>999999</v>
      </c>
      <c r="D65" s="7">
        <v>999999</v>
      </c>
      <c r="E65" s="7">
        <v>999999</v>
      </c>
      <c r="F65" s="7">
        <v>999999</v>
      </c>
      <c r="G65" s="7">
        <v>999999</v>
      </c>
      <c r="H65" s="7">
        <v>999999</v>
      </c>
    </row>
    <row r="66" spans="1:8" x14ac:dyDescent="0.4">
      <c r="A66" s="55" t="s">
        <v>709</v>
      </c>
      <c r="B66" s="66">
        <v>999999</v>
      </c>
      <c r="C66" s="7">
        <v>999999</v>
      </c>
      <c r="D66" s="7">
        <v>999999</v>
      </c>
      <c r="E66" s="7">
        <v>999999</v>
      </c>
      <c r="F66" s="7">
        <v>999999</v>
      </c>
      <c r="G66" s="7">
        <v>999999</v>
      </c>
      <c r="H66" s="7">
        <v>999999</v>
      </c>
    </row>
    <row r="67" spans="1:8" x14ac:dyDescent="0.4">
      <c r="A67" s="55" t="s">
        <v>710</v>
      </c>
      <c r="B67" s="66">
        <v>999999</v>
      </c>
      <c r="C67" s="7">
        <v>999999</v>
      </c>
      <c r="D67" s="7">
        <v>999999</v>
      </c>
      <c r="E67" s="7">
        <v>999999</v>
      </c>
      <c r="F67" s="7">
        <v>999999</v>
      </c>
      <c r="G67" s="7">
        <v>999999</v>
      </c>
      <c r="H67" s="7">
        <v>999999</v>
      </c>
    </row>
    <row r="68" spans="1:8" x14ac:dyDescent="0.4">
      <c r="A68" s="55" t="s">
        <v>711</v>
      </c>
      <c r="B68" s="66">
        <v>999999</v>
      </c>
      <c r="C68" s="7">
        <v>999999</v>
      </c>
      <c r="D68" s="7">
        <v>999999</v>
      </c>
      <c r="E68" s="7">
        <v>999999</v>
      </c>
      <c r="F68" s="7">
        <v>999999</v>
      </c>
      <c r="G68" s="7">
        <v>999999</v>
      </c>
      <c r="H68" s="7">
        <v>999999</v>
      </c>
    </row>
    <row r="69" spans="1:8" x14ac:dyDescent="0.4">
      <c r="A69" s="55" t="s">
        <v>712</v>
      </c>
      <c r="B69" s="66">
        <v>999999</v>
      </c>
      <c r="C69" s="7">
        <v>999999</v>
      </c>
      <c r="D69" s="7">
        <v>999999</v>
      </c>
      <c r="E69" s="7">
        <v>999999</v>
      </c>
      <c r="F69" s="7">
        <v>999999</v>
      </c>
      <c r="G69" s="7">
        <v>999999</v>
      </c>
      <c r="H69" s="7">
        <v>999999</v>
      </c>
    </row>
    <row r="70" spans="1:8" x14ac:dyDescent="0.4">
      <c r="A70" s="55" t="s">
        <v>713</v>
      </c>
      <c r="B70" s="66"/>
      <c r="C70" s="7"/>
      <c r="D70" s="7"/>
      <c r="E70" s="7"/>
      <c r="F70" s="7"/>
      <c r="G70" s="7"/>
      <c r="H70" s="7"/>
    </row>
    <row r="71" spans="1:8" x14ac:dyDescent="0.4">
      <c r="A71" s="55" t="s">
        <v>714</v>
      </c>
      <c r="B71" s="66">
        <v>999999</v>
      </c>
      <c r="C71" s="7">
        <v>999999</v>
      </c>
      <c r="D71" s="7">
        <v>999999</v>
      </c>
      <c r="E71" s="7">
        <v>999999</v>
      </c>
      <c r="F71" s="7">
        <v>999999</v>
      </c>
      <c r="G71" s="7">
        <v>999999</v>
      </c>
      <c r="H71" s="7">
        <v>999999</v>
      </c>
    </row>
    <row r="72" spans="1:8" x14ac:dyDescent="0.4">
      <c r="A72" s="55" t="s">
        <v>715</v>
      </c>
      <c r="B72" s="66">
        <v>999999</v>
      </c>
      <c r="C72" s="7">
        <v>999999</v>
      </c>
      <c r="D72" s="7">
        <v>999999</v>
      </c>
      <c r="E72" s="7">
        <v>999999</v>
      </c>
      <c r="F72" s="7">
        <v>999999</v>
      </c>
      <c r="G72" s="7">
        <v>999999</v>
      </c>
      <c r="H72" s="7">
        <v>999999</v>
      </c>
    </row>
    <row r="73" spans="1:8" x14ac:dyDescent="0.4">
      <c r="A73" s="55" t="s">
        <v>716</v>
      </c>
      <c r="B73" s="66"/>
      <c r="C73" s="7"/>
      <c r="D73" s="7"/>
      <c r="E73" s="7"/>
      <c r="F73" s="7"/>
      <c r="G73" s="7"/>
      <c r="H73" s="7"/>
    </row>
    <row r="74" spans="1:8" x14ac:dyDescent="0.4">
      <c r="A74" s="55" t="s">
        <v>717</v>
      </c>
      <c r="B74" s="66">
        <v>999999</v>
      </c>
      <c r="C74" s="7">
        <v>999999</v>
      </c>
      <c r="D74" s="7">
        <v>999999</v>
      </c>
      <c r="E74" s="7">
        <v>999999</v>
      </c>
      <c r="F74" s="7">
        <v>999999</v>
      </c>
      <c r="G74" s="7">
        <v>999999</v>
      </c>
      <c r="H74" s="7">
        <v>999999</v>
      </c>
    </row>
    <row r="75" spans="1:8" x14ac:dyDescent="0.4">
      <c r="A75" s="55" t="s">
        <v>718</v>
      </c>
      <c r="B75" s="66"/>
      <c r="C75" s="7"/>
      <c r="D75" s="7"/>
      <c r="E75" s="7"/>
      <c r="F75" s="7"/>
      <c r="G75" s="7"/>
      <c r="H75" s="7"/>
    </row>
    <row r="76" spans="1:8" x14ac:dyDescent="0.4">
      <c r="A76" s="55" t="s">
        <v>719</v>
      </c>
      <c r="B76" s="66">
        <v>999999</v>
      </c>
      <c r="C76" s="7">
        <v>999999</v>
      </c>
      <c r="D76" s="7">
        <v>999999</v>
      </c>
      <c r="E76" s="7">
        <v>999999</v>
      </c>
      <c r="F76" s="7">
        <v>999999</v>
      </c>
      <c r="G76" s="7">
        <v>999999</v>
      </c>
      <c r="H76" s="7">
        <v>999999</v>
      </c>
    </row>
    <row r="77" spans="1:8" x14ac:dyDescent="0.4">
      <c r="A77" s="55" t="s">
        <v>720</v>
      </c>
      <c r="B77" s="66">
        <v>999999</v>
      </c>
      <c r="C77" s="7">
        <v>999999</v>
      </c>
      <c r="D77" s="7">
        <v>999999</v>
      </c>
      <c r="E77" s="7">
        <v>999999</v>
      </c>
      <c r="F77" s="7">
        <v>999999</v>
      </c>
      <c r="G77" s="7">
        <v>999999</v>
      </c>
      <c r="H77" s="7">
        <v>999999</v>
      </c>
    </row>
    <row r="78" spans="1:8" x14ac:dyDescent="0.4">
      <c r="A78" s="55" t="s">
        <v>721</v>
      </c>
      <c r="B78" s="66">
        <v>999999</v>
      </c>
      <c r="C78" s="7">
        <v>999999</v>
      </c>
      <c r="D78" s="7">
        <v>999999</v>
      </c>
      <c r="E78" s="7">
        <v>999999</v>
      </c>
      <c r="F78" s="7">
        <v>999999</v>
      </c>
      <c r="G78" s="7">
        <v>999999</v>
      </c>
      <c r="H78" s="7">
        <v>999999</v>
      </c>
    </row>
    <row r="79" spans="1:8" x14ac:dyDescent="0.4">
      <c r="A79" s="55" t="s">
        <v>722</v>
      </c>
      <c r="B79" s="66"/>
      <c r="C79" s="7"/>
      <c r="D79" s="7"/>
      <c r="E79" s="7"/>
      <c r="F79" s="7"/>
      <c r="G79" s="7"/>
      <c r="H79" s="7"/>
    </row>
    <row r="80" spans="1:8" x14ac:dyDescent="0.4">
      <c r="A80" s="55" t="s">
        <v>723</v>
      </c>
      <c r="B80" s="66">
        <v>999999</v>
      </c>
      <c r="C80" s="7">
        <v>999999</v>
      </c>
      <c r="D80" s="7">
        <v>999999</v>
      </c>
      <c r="E80" s="7">
        <v>999999</v>
      </c>
      <c r="F80" s="7">
        <v>999999</v>
      </c>
      <c r="G80" s="7">
        <v>999999</v>
      </c>
      <c r="H80" s="7">
        <v>999999</v>
      </c>
    </row>
    <row r="81" spans="1:8" x14ac:dyDescent="0.4">
      <c r="A81" s="55" t="s">
        <v>724</v>
      </c>
      <c r="B81" s="66">
        <v>999999</v>
      </c>
      <c r="C81" s="7">
        <v>999999</v>
      </c>
      <c r="D81" s="7">
        <v>999999</v>
      </c>
      <c r="E81" s="7">
        <v>999999</v>
      </c>
      <c r="F81" s="7">
        <v>999999</v>
      </c>
      <c r="G81" s="7">
        <v>999999</v>
      </c>
      <c r="H81" s="7">
        <v>999999</v>
      </c>
    </row>
    <row r="82" spans="1:8" x14ac:dyDescent="0.4">
      <c r="A82" s="55" t="s">
        <v>725</v>
      </c>
      <c r="B82" s="66">
        <v>999999</v>
      </c>
      <c r="C82" s="7">
        <v>999999</v>
      </c>
      <c r="D82" s="7">
        <v>999999</v>
      </c>
      <c r="E82" s="7">
        <v>999999</v>
      </c>
      <c r="F82" s="7">
        <v>999999</v>
      </c>
      <c r="G82" s="7">
        <v>999999</v>
      </c>
      <c r="H82" s="7">
        <v>999999</v>
      </c>
    </row>
    <row r="83" spans="1:8" x14ac:dyDescent="0.4">
      <c r="A83" s="55" t="s">
        <v>726</v>
      </c>
      <c r="B83" s="66">
        <v>999999</v>
      </c>
      <c r="C83" s="7">
        <v>999999</v>
      </c>
      <c r="D83" s="7">
        <v>999999</v>
      </c>
      <c r="E83" s="7">
        <v>999999</v>
      </c>
      <c r="F83" s="7">
        <v>999999</v>
      </c>
      <c r="G83" s="7">
        <v>999999</v>
      </c>
      <c r="H83" s="7">
        <v>999999</v>
      </c>
    </row>
    <row r="84" spans="1:8" x14ac:dyDescent="0.4">
      <c r="A84" s="55" t="s">
        <v>727</v>
      </c>
      <c r="B84" s="66">
        <v>999999</v>
      </c>
      <c r="C84" s="7">
        <v>999999</v>
      </c>
      <c r="D84" s="7">
        <v>999999</v>
      </c>
      <c r="E84" s="7">
        <v>999999</v>
      </c>
      <c r="F84" s="7">
        <v>999999</v>
      </c>
      <c r="G84" s="7">
        <v>999999</v>
      </c>
      <c r="H84" s="7">
        <v>999999</v>
      </c>
    </row>
    <row r="85" spans="1:8" x14ac:dyDescent="0.4">
      <c r="A85" s="55" t="s">
        <v>728</v>
      </c>
      <c r="B85" s="66">
        <v>999999</v>
      </c>
      <c r="C85" s="7">
        <v>999999</v>
      </c>
      <c r="D85" s="7">
        <v>999999</v>
      </c>
      <c r="E85" s="7">
        <v>999999</v>
      </c>
      <c r="F85" s="7">
        <v>999999</v>
      </c>
      <c r="G85" s="7">
        <v>999999</v>
      </c>
      <c r="H85" s="7">
        <v>999999</v>
      </c>
    </row>
    <row r="86" spans="1:8" x14ac:dyDescent="0.4">
      <c r="A86" s="55" t="s">
        <v>729</v>
      </c>
      <c r="B86" s="66">
        <v>999999</v>
      </c>
      <c r="C86" s="7">
        <v>999999</v>
      </c>
      <c r="D86" s="7">
        <v>999999</v>
      </c>
      <c r="E86" s="7">
        <v>999999</v>
      </c>
      <c r="F86" s="7">
        <v>999999</v>
      </c>
      <c r="G86" s="7">
        <v>999999</v>
      </c>
      <c r="H86" s="7">
        <v>999999</v>
      </c>
    </row>
    <row r="87" spans="1:8" x14ac:dyDescent="0.4">
      <c r="A87" s="55" t="s">
        <v>730</v>
      </c>
      <c r="B87" s="66"/>
      <c r="C87" s="7"/>
      <c r="D87" s="7"/>
      <c r="E87" s="7"/>
      <c r="F87" s="7"/>
      <c r="G87" s="7"/>
      <c r="H87" s="7"/>
    </row>
    <row r="88" spans="1:8" x14ac:dyDescent="0.4">
      <c r="A88" s="55" t="s">
        <v>731</v>
      </c>
      <c r="B88" s="66">
        <v>999999</v>
      </c>
      <c r="C88" s="7">
        <v>999999</v>
      </c>
      <c r="D88" s="7">
        <v>999999</v>
      </c>
      <c r="E88" s="7">
        <v>999999</v>
      </c>
      <c r="F88" s="7">
        <v>999999</v>
      </c>
      <c r="G88" s="7">
        <v>999999</v>
      </c>
      <c r="H88" s="7">
        <v>999999</v>
      </c>
    </row>
    <row r="89" spans="1:8" x14ac:dyDescent="0.4">
      <c r="A89" s="55" t="s">
        <v>732</v>
      </c>
      <c r="B89" s="66"/>
      <c r="C89" s="7"/>
      <c r="D89" s="7"/>
      <c r="E89" s="7"/>
      <c r="F89" s="7"/>
      <c r="G89" s="7"/>
      <c r="H89" s="7"/>
    </row>
    <row r="90" spans="1:8" x14ac:dyDescent="0.4">
      <c r="A90" s="55" t="s">
        <v>733</v>
      </c>
      <c r="B90" s="66">
        <v>999999</v>
      </c>
      <c r="C90" s="7">
        <v>999999</v>
      </c>
      <c r="D90" s="7">
        <v>999999</v>
      </c>
      <c r="E90" s="7">
        <v>999999</v>
      </c>
      <c r="F90" s="7">
        <v>999999</v>
      </c>
      <c r="G90" s="7">
        <v>999999</v>
      </c>
      <c r="H90" s="7">
        <v>999999</v>
      </c>
    </row>
    <row r="91" spans="1:8" x14ac:dyDescent="0.4">
      <c r="A91" s="55" t="s">
        <v>734</v>
      </c>
      <c r="B91" s="66">
        <v>999999</v>
      </c>
      <c r="C91" s="7">
        <v>999999</v>
      </c>
      <c r="D91" s="7">
        <v>999999</v>
      </c>
      <c r="E91" s="7">
        <v>999999</v>
      </c>
      <c r="F91" s="7">
        <v>999999</v>
      </c>
      <c r="G91" s="7">
        <v>999999</v>
      </c>
      <c r="H91" s="7">
        <v>999999</v>
      </c>
    </row>
    <row r="92" spans="1:8" x14ac:dyDescent="0.4">
      <c r="A92" s="55" t="s">
        <v>735</v>
      </c>
      <c r="B92" s="66"/>
      <c r="C92" s="7"/>
      <c r="D92" s="7"/>
      <c r="E92" s="7"/>
      <c r="F92" s="7"/>
      <c r="G92" s="7"/>
      <c r="H92" s="7"/>
    </row>
    <row r="93" spans="1:8" x14ac:dyDescent="0.4">
      <c r="A93" s="55" t="s">
        <v>736</v>
      </c>
      <c r="B93" s="66">
        <v>999999</v>
      </c>
      <c r="C93" s="7">
        <v>999999</v>
      </c>
      <c r="D93" s="7">
        <v>999999</v>
      </c>
      <c r="E93" s="7">
        <v>999999</v>
      </c>
      <c r="F93" s="7">
        <v>999999</v>
      </c>
      <c r="G93" s="7">
        <v>999999</v>
      </c>
      <c r="H93" s="7">
        <v>999999</v>
      </c>
    </row>
    <row r="94" spans="1:8" x14ac:dyDescent="0.4">
      <c r="A94" s="55" t="s">
        <v>737</v>
      </c>
      <c r="B94" s="66"/>
      <c r="C94" s="7"/>
      <c r="D94" s="7"/>
      <c r="E94" s="7"/>
      <c r="F94" s="7"/>
      <c r="G94" s="7"/>
      <c r="H94" s="7"/>
    </row>
    <row r="95" spans="1:8" x14ac:dyDescent="0.4">
      <c r="A95" s="55" t="s">
        <v>738</v>
      </c>
      <c r="B95" s="66">
        <v>999999</v>
      </c>
      <c r="C95" s="7">
        <v>999999</v>
      </c>
      <c r="D95" s="7">
        <v>999999</v>
      </c>
      <c r="E95" s="7">
        <v>999999</v>
      </c>
      <c r="F95" s="7">
        <v>999999</v>
      </c>
      <c r="G95" s="7">
        <v>999999</v>
      </c>
      <c r="H95" s="7">
        <v>999999</v>
      </c>
    </row>
    <row r="96" spans="1:8" x14ac:dyDescent="0.4">
      <c r="A96" s="55" t="s">
        <v>739</v>
      </c>
      <c r="B96" s="66">
        <v>999999</v>
      </c>
      <c r="C96" s="7">
        <v>999999</v>
      </c>
      <c r="D96" s="7">
        <v>999999</v>
      </c>
      <c r="E96" s="7">
        <v>999999</v>
      </c>
      <c r="F96" s="7">
        <v>999999</v>
      </c>
      <c r="G96" s="7">
        <v>999999</v>
      </c>
      <c r="H96" s="7">
        <v>999999</v>
      </c>
    </row>
    <row r="97" spans="1:8" x14ac:dyDescent="0.4">
      <c r="A97" s="55" t="s">
        <v>740</v>
      </c>
      <c r="B97" s="66">
        <v>999999</v>
      </c>
      <c r="C97" s="7">
        <v>999999</v>
      </c>
      <c r="D97" s="7">
        <v>999999</v>
      </c>
      <c r="E97" s="7">
        <v>999999</v>
      </c>
      <c r="F97" s="7">
        <v>999999</v>
      </c>
      <c r="G97" s="7">
        <v>999999</v>
      </c>
      <c r="H97" s="7">
        <v>999999</v>
      </c>
    </row>
  </sheetData>
  <mergeCells count="1">
    <mergeCell ref="A1:C1"/>
  </mergeCells>
  <phoneticPr fontId="3"/>
  <pageMargins left="0.25" right="0.25" top="0.75" bottom="0.75" header="0.3" footer="0.3"/>
  <pageSetup paperSize="8" scale="92" fitToHeight="0" orientation="portrait"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6305-3AD1-431D-AEA7-297B4BB55D15}">
  <sheetPr>
    <pageSetUpPr fitToPage="1"/>
  </sheetPr>
  <dimension ref="A1:H70"/>
  <sheetViews>
    <sheetView view="pageBreakPreview" zoomScaleNormal="100" zoomScaleSheetLayoutView="100" workbookViewId="0">
      <selection sqref="A1:C1"/>
    </sheetView>
  </sheetViews>
  <sheetFormatPr defaultRowHeight="18.75" x14ac:dyDescent="0.4"/>
  <cols>
    <col min="1" max="1" width="23.5" customWidth="1"/>
    <col min="2" max="2" width="14.75" customWidth="1"/>
    <col min="3" max="8" width="18.625" customWidth="1"/>
  </cols>
  <sheetData>
    <row r="1" spans="1:8" ht="33" x14ac:dyDescent="0.4">
      <c r="A1" s="438" t="s">
        <v>746</v>
      </c>
      <c r="B1" s="438"/>
      <c r="C1" s="438"/>
    </row>
    <row r="2" spans="1:8" x14ac:dyDescent="0.4">
      <c r="A2" s="56" t="s">
        <v>562</v>
      </c>
      <c r="B2" s="56"/>
      <c r="C2" s="56" t="s">
        <v>632</v>
      </c>
      <c r="D2" s="56"/>
      <c r="E2" s="56"/>
      <c r="F2" s="56"/>
      <c r="G2" s="56"/>
      <c r="H2" s="56"/>
    </row>
    <row r="3" spans="1:8" ht="32.25" customHeight="1" x14ac:dyDescent="0.4">
      <c r="A3" s="57" t="s">
        <v>563</v>
      </c>
      <c r="B3" s="57" t="s">
        <v>356</v>
      </c>
      <c r="C3" s="61" t="s">
        <v>634</v>
      </c>
      <c r="D3" s="60" t="s">
        <v>636</v>
      </c>
      <c r="E3" s="60" t="s">
        <v>640</v>
      </c>
      <c r="F3" s="60" t="s">
        <v>638</v>
      </c>
      <c r="G3" s="60" t="s">
        <v>642</v>
      </c>
      <c r="H3" s="60" t="s">
        <v>644</v>
      </c>
    </row>
    <row r="4" spans="1:8" x14ac:dyDescent="0.4">
      <c r="A4" s="55" t="s">
        <v>564</v>
      </c>
      <c r="B4" s="58"/>
      <c r="C4" s="6"/>
      <c r="D4" s="6"/>
      <c r="E4" s="6"/>
      <c r="F4" s="6"/>
      <c r="G4" s="6"/>
      <c r="H4" s="6"/>
    </row>
    <row r="5" spans="1:8" x14ac:dyDescent="0.4">
      <c r="A5" s="55" t="s">
        <v>565</v>
      </c>
      <c r="B5" s="59">
        <v>1111111</v>
      </c>
      <c r="C5" s="7">
        <v>99999</v>
      </c>
      <c r="D5" s="7">
        <v>8888</v>
      </c>
      <c r="E5" s="7">
        <v>777777</v>
      </c>
      <c r="F5" s="7">
        <v>55555</v>
      </c>
      <c r="G5" s="7">
        <v>4444</v>
      </c>
      <c r="H5" s="7">
        <v>33333</v>
      </c>
    </row>
    <row r="6" spans="1:8" x14ac:dyDescent="0.4">
      <c r="A6" s="55" t="s">
        <v>566</v>
      </c>
      <c r="B6" s="59">
        <v>1111111</v>
      </c>
      <c r="C6" s="7">
        <v>99999</v>
      </c>
      <c r="D6" s="7">
        <v>8888</v>
      </c>
      <c r="E6" s="7">
        <v>777777</v>
      </c>
      <c r="F6" s="7">
        <v>55555</v>
      </c>
      <c r="G6" s="7">
        <v>4444</v>
      </c>
      <c r="H6" s="7">
        <v>33333</v>
      </c>
    </row>
    <row r="7" spans="1:8" x14ac:dyDescent="0.4">
      <c r="A7" s="55" t="s">
        <v>567</v>
      </c>
      <c r="B7" s="59">
        <v>1111111</v>
      </c>
      <c r="C7" s="7">
        <v>99999</v>
      </c>
      <c r="D7" s="7">
        <v>8888</v>
      </c>
      <c r="E7" s="7">
        <v>777777</v>
      </c>
      <c r="F7" s="7">
        <v>55555</v>
      </c>
      <c r="G7" s="7">
        <v>4444</v>
      </c>
      <c r="H7" s="7">
        <v>33333</v>
      </c>
    </row>
    <row r="8" spans="1:8" x14ac:dyDescent="0.4">
      <c r="A8" s="55" t="s">
        <v>568</v>
      </c>
      <c r="B8" s="59">
        <v>1111111</v>
      </c>
      <c r="C8" s="7">
        <v>99999</v>
      </c>
      <c r="D8" s="7">
        <v>8888</v>
      </c>
      <c r="E8" s="7">
        <v>777777</v>
      </c>
      <c r="F8" s="7">
        <v>55555</v>
      </c>
      <c r="G8" s="7">
        <v>4444</v>
      </c>
      <c r="H8" s="7">
        <v>33333</v>
      </c>
    </row>
    <row r="9" spans="1:8" x14ac:dyDescent="0.4">
      <c r="A9" s="55" t="s">
        <v>569</v>
      </c>
      <c r="B9" s="59">
        <v>1111111</v>
      </c>
      <c r="C9" s="7">
        <v>99999</v>
      </c>
      <c r="D9" s="7">
        <v>8888</v>
      </c>
      <c r="E9" s="7">
        <v>777777</v>
      </c>
      <c r="F9" s="7">
        <v>55555</v>
      </c>
      <c r="G9" s="7">
        <v>4444</v>
      </c>
      <c r="H9" s="7">
        <v>33333</v>
      </c>
    </row>
    <row r="10" spans="1:8" x14ac:dyDescent="0.4">
      <c r="A10" s="55" t="s">
        <v>570</v>
      </c>
      <c r="B10" s="59">
        <v>1111111</v>
      </c>
      <c r="C10" s="7">
        <v>99999</v>
      </c>
      <c r="D10" s="7">
        <v>8888</v>
      </c>
      <c r="E10" s="7">
        <v>777777</v>
      </c>
      <c r="F10" s="7">
        <v>55555</v>
      </c>
      <c r="G10" s="7">
        <v>4444</v>
      </c>
      <c r="H10" s="7">
        <v>33333</v>
      </c>
    </row>
    <row r="11" spans="1:8" x14ac:dyDescent="0.4">
      <c r="A11" s="55" t="s">
        <v>571</v>
      </c>
      <c r="B11" s="58"/>
      <c r="C11" s="6"/>
      <c r="D11" s="6"/>
      <c r="E11" s="6"/>
      <c r="F11" s="6"/>
      <c r="G11" s="6"/>
      <c r="H11" s="6"/>
    </row>
    <row r="12" spans="1:8" x14ac:dyDescent="0.4">
      <c r="A12" s="55" t="s">
        <v>572</v>
      </c>
      <c r="B12" s="59">
        <v>1111111</v>
      </c>
      <c r="C12" s="7">
        <v>99999</v>
      </c>
      <c r="D12" s="7">
        <v>8888</v>
      </c>
      <c r="E12" s="7">
        <v>777777</v>
      </c>
      <c r="F12" s="7">
        <v>55555</v>
      </c>
      <c r="G12" s="7">
        <v>4444</v>
      </c>
      <c r="H12" s="7">
        <v>33333</v>
      </c>
    </row>
    <row r="13" spans="1:8" x14ac:dyDescent="0.4">
      <c r="A13" s="55" t="s">
        <v>573</v>
      </c>
      <c r="B13" s="59">
        <v>1111111</v>
      </c>
      <c r="C13" s="7">
        <v>99999</v>
      </c>
      <c r="D13" s="7">
        <v>8888</v>
      </c>
      <c r="E13" s="7">
        <v>777777</v>
      </c>
      <c r="F13" s="7">
        <v>55555</v>
      </c>
      <c r="G13" s="7">
        <v>4444</v>
      </c>
      <c r="H13" s="7">
        <v>33333</v>
      </c>
    </row>
    <row r="14" spans="1:8" x14ac:dyDescent="0.4">
      <c r="A14" s="55" t="s">
        <v>574</v>
      </c>
      <c r="B14" s="59">
        <v>1111111</v>
      </c>
      <c r="C14" s="7">
        <v>99999</v>
      </c>
      <c r="D14" s="7">
        <v>8888</v>
      </c>
      <c r="E14" s="7">
        <v>777777</v>
      </c>
      <c r="F14" s="7">
        <v>55555</v>
      </c>
      <c r="G14" s="7">
        <v>4444</v>
      </c>
      <c r="H14" s="7">
        <v>33333</v>
      </c>
    </row>
    <row r="15" spans="1:8" x14ac:dyDescent="0.4">
      <c r="A15" s="55" t="s">
        <v>575</v>
      </c>
      <c r="B15" s="59">
        <v>1111111</v>
      </c>
      <c r="C15" s="7">
        <v>99999</v>
      </c>
      <c r="D15" s="7">
        <v>8888</v>
      </c>
      <c r="E15" s="7">
        <v>777777</v>
      </c>
      <c r="F15" s="7">
        <v>55555</v>
      </c>
      <c r="G15" s="7">
        <v>4444</v>
      </c>
      <c r="H15" s="7">
        <v>33333</v>
      </c>
    </row>
    <row r="16" spans="1:8" x14ac:dyDescent="0.4">
      <c r="A16" s="55" t="s">
        <v>576</v>
      </c>
      <c r="B16" s="59">
        <v>1111111</v>
      </c>
      <c r="C16" s="7">
        <v>99999</v>
      </c>
      <c r="D16" s="7">
        <v>8888</v>
      </c>
      <c r="E16" s="7">
        <v>777777</v>
      </c>
      <c r="F16" s="7">
        <v>55555</v>
      </c>
      <c r="G16" s="7">
        <v>4444</v>
      </c>
      <c r="H16" s="7">
        <v>33333</v>
      </c>
    </row>
    <row r="17" spans="1:8" x14ac:dyDescent="0.4">
      <c r="A17" s="55" t="s">
        <v>577</v>
      </c>
      <c r="B17" s="59">
        <v>1111111</v>
      </c>
      <c r="C17" s="7">
        <v>99999</v>
      </c>
      <c r="D17" s="7">
        <v>8888</v>
      </c>
      <c r="E17" s="7">
        <v>777777</v>
      </c>
      <c r="F17" s="7">
        <v>55555</v>
      </c>
      <c r="G17" s="7">
        <v>4444</v>
      </c>
      <c r="H17" s="7">
        <v>33333</v>
      </c>
    </row>
    <row r="18" spans="1:8" x14ac:dyDescent="0.4">
      <c r="A18" s="55" t="s">
        <v>578</v>
      </c>
      <c r="B18" s="58"/>
      <c r="C18" s="6"/>
      <c r="D18" s="6"/>
      <c r="E18" s="6"/>
      <c r="F18" s="6"/>
      <c r="G18" s="6"/>
      <c r="H18" s="6"/>
    </row>
    <row r="19" spans="1:8" x14ac:dyDescent="0.4">
      <c r="A19" s="55" t="s">
        <v>579</v>
      </c>
      <c r="B19" s="59">
        <v>1111111</v>
      </c>
      <c r="C19" s="7">
        <v>99999</v>
      </c>
      <c r="D19" s="7">
        <v>8888</v>
      </c>
      <c r="E19" s="7">
        <v>777777</v>
      </c>
      <c r="F19" s="7">
        <v>55555</v>
      </c>
      <c r="G19" s="7">
        <v>4444</v>
      </c>
      <c r="H19" s="7">
        <v>33333</v>
      </c>
    </row>
    <row r="20" spans="1:8" x14ac:dyDescent="0.4">
      <c r="A20" s="55" t="s">
        <v>580</v>
      </c>
      <c r="B20" s="59">
        <v>1111111</v>
      </c>
      <c r="C20" s="7">
        <v>99999</v>
      </c>
      <c r="D20" s="7">
        <v>8888</v>
      </c>
      <c r="E20" s="7">
        <v>777777</v>
      </c>
      <c r="F20" s="7">
        <v>55555</v>
      </c>
      <c r="G20" s="7">
        <v>4444</v>
      </c>
      <c r="H20" s="7">
        <v>33333</v>
      </c>
    </row>
    <row r="21" spans="1:8" x14ac:dyDescent="0.4">
      <c r="A21" s="55" t="s">
        <v>581</v>
      </c>
      <c r="B21" s="59">
        <v>1111111</v>
      </c>
      <c r="C21" s="7">
        <v>99999</v>
      </c>
      <c r="D21" s="7">
        <v>8888</v>
      </c>
      <c r="E21" s="7">
        <v>777777</v>
      </c>
      <c r="F21" s="7">
        <v>55555</v>
      </c>
      <c r="G21" s="7">
        <v>4444</v>
      </c>
      <c r="H21" s="7">
        <v>33333</v>
      </c>
    </row>
    <row r="22" spans="1:8" x14ac:dyDescent="0.4">
      <c r="A22" s="55" t="s">
        <v>582</v>
      </c>
      <c r="B22" s="59">
        <v>1111111</v>
      </c>
      <c r="C22" s="7">
        <v>99999</v>
      </c>
      <c r="D22" s="7">
        <v>8888</v>
      </c>
      <c r="E22" s="7">
        <v>777777</v>
      </c>
      <c r="F22" s="7">
        <v>55555</v>
      </c>
      <c r="G22" s="7">
        <v>4444</v>
      </c>
      <c r="H22" s="7">
        <v>33333</v>
      </c>
    </row>
    <row r="23" spans="1:8" x14ac:dyDescent="0.4">
      <c r="A23" s="55" t="s">
        <v>583</v>
      </c>
      <c r="B23" s="59">
        <v>1111111</v>
      </c>
      <c r="C23" s="7">
        <v>99999</v>
      </c>
      <c r="D23" s="7">
        <v>8888</v>
      </c>
      <c r="E23" s="7">
        <v>777777</v>
      </c>
      <c r="F23" s="7">
        <v>55555</v>
      </c>
      <c r="G23" s="7">
        <v>4444</v>
      </c>
      <c r="H23" s="7">
        <v>33333</v>
      </c>
    </row>
    <row r="24" spans="1:8" x14ac:dyDescent="0.4">
      <c r="A24" s="55" t="s">
        <v>584</v>
      </c>
      <c r="B24" s="59">
        <v>1111111</v>
      </c>
      <c r="C24" s="7">
        <v>99999</v>
      </c>
      <c r="D24" s="7">
        <v>8888</v>
      </c>
      <c r="E24" s="7">
        <v>777777</v>
      </c>
      <c r="F24" s="7">
        <v>55555</v>
      </c>
      <c r="G24" s="7">
        <v>4444</v>
      </c>
      <c r="H24" s="7">
        <v>33333</v>
      </c>
    </row>
    <row r="25" spans="1:8" x14ac:dyDescent="0.4">
      <c r="A25" s="55" t="s">
        <v>585</v>
      </c>
      <c r="B25" s="59">
        <v>1111111</v>
      </c>
      <c r="C25" s="7">
        <v>99999</v>
      </c>
      <c r="D25" s="7">
        <v>8888</v>
      </c>
      <c r="E25" s="7">
        <v>777777</v>
      </c>
      <c r="F25" s="7">
        <v>55555</v>
      </c>
      <c r="G25" s="7">
        <v>4444</v>
      </c>
      <c r="H25" s="7">
        <v>33333</v>
      </c>
    </row>
    <row r="26" spans="1:8" x14ac:dyDescent="0.4">
      <c r="A26" s="55" t="s">
        <v>586</v>
      </c>
      <c r="B26" s="59">
        <v>1111111</v>
      </c>
      <c r="C26" s="7">
        <v>99999</v>
      </c>
      <c r="D26" s="7">
        <v>8888</v>
      </c>
      <c r="E26" s="7">
        <v>777777</v>
      </c>
      <c r="F26" s="7">
        <v>55555</v>
      </c>
      <c r="G26" s="7">
        <v>4444</v>
      </c>
      <c r="H26" s="7">
        <v>33333</v>
      </c>
    </row>
    <row r="27" spans="1:8" x14ac:dyDescent="0.4">
      <c r="A27" s="55" t="s">
        <v>587</v>
      </c>
      <c r="B27" s="59">
        <v>1111111</v>
      </c>
      <c r="C27" s="7">
        <v>99999</v>
      </c>
      <c r="D27" s="7">
        <v>8888</v>
      </c>
      <c r="E27" s="7">
        <v>777777</v>
      </c>
      <c r="F27" s="7">
        <v>55555</v>
      </c>
      <c r="G27" s="7">
        <v>4444</v>
      </c>
      <c r="H27" s="7">
        <v>33333</v>
      </c>
    </row>
    <row r="28" spans="1:8" x14ac:dyDescent="0.4">
      <c r="A28" s="55" t="s">
        <v>588</v>
      </c>
      <c r="B28" s="59">
        <v>1111111</v>
      </c>
      <c r="C28" s="7">
        <v>99999</v>
      </c>
      <c r="D28" s="7">
        <v>8888</v>
      </c>
      <c r="E28" s="7">
        <v>777777</v>
      </c>
      <c r="F28" s="7">
        <v>55555</v>
      </c>
      <c r="G28" s="7">
        <v>4444</v>
      </c>
      <c r="H28" s="7">
        <v>33333</v>
      </c>
    </row>
    <row r="29" spans="1:8" x14ac:dyDescent="0.4">
      <c r="A29" s="55" t="s">
        <v>589</v>
      </c>
      <c r="B29" s="59">
        <v>1111111</v>
      </c>
      <c r="C29" s="7">
        <v>99999</v>
      </c>
      <c r="D29" s="7">
        <v>8888</v>
      </c>
      <c r="E29" s="7">
        <v>777777</v>
      </c>
      <c r="F29" s="7">
        <v>55555</v>
      </c>
      <c r="G29" s="7">
        <v>4444</v>
      </c>
      <c r="H29" s="7">
        <v>33333</v>
      </c>
    </row>
    <row r="30" spans="1:8" x14ac:dyDescent="0.4">
      <c r="A30" s="55" t="s">
        <v>590</v>
      </c>
      <c r="B30" s="59">
        <v>1111111</v>
      </c>
      <c r="C30" s="7">
        <v>99999</v>
      </c>
      <c r="D30" s="7">
        <v>8888</v>
      </c>
      <c r="E30" s="7">
        <v>777777</v>
      </c>
      <c r="F30" s="7">
        <v>55555</v>
      </c>
      <c r="G30" s="7">
        <v>4444</v>
      </c>
      <c r="H30" s="7">
        <v>33333</v>
      </c>
    </row>
    <row r="31" spans="1:8" x14ac:dyDescent="0.4">
      <c r="A31" s="55" t="s">
        <v>591</v>
      </c>
      <c r="B31" s="59">
        <v>1111111</v>
      </c>
      <c r="C31" s="7">
        <v>99999</v>
      </c>
      <c r="D31" s="7">
        <v>8888</v>
      </c>
      <c r="E31" s="7">
        <v>777777</v>
      </c>
      <c r="F31" s="7">
        <v>55555</v>
      </c>
      <c r="G31" s="7">
        <v>4444</v>
      </c>
      <c r="H31" s="7">
        <v>33333</v>
      </c>
    </row>
    <row r="32" spans="1:8" x14ac:dyDescent="0.4">
      <c r="A32" s="55" t="s">
        <v>592</v>
      </c>
      <c r="B32" s="59">
        <v>1111111</v>
      </c>
      <c r="C32" s="7">
        <v>99999</v>
      </c>
      <c r="D32" s="7">
        <v>8888</v>
      </c>
      <c r="E32" s="7">
        <v>777777</v>
      </c>
      <c r="F32" s="7">
        <v>55555</v>
      </c>
      <c r="G32" s="7">
        <v>4444</v>
      </c>
      <c r="H32" s="7">
        <v>33333</v>
      </c>
    </row>
    <row r="33" spans="1:8" x14ac:dyDescent="0.4">
      <c r="A33" s="55" t="s">
        <v>593</v>
      </c>
      <c r="B33" s="59">
        <v>1111111</v>
      </c>
      <c r="C33" s="7">
        <v>99999</v>
      </c>
      <c r="D33" s="7">
        <v>8888</v>
      </c>
      <c r="E33" s="7">
        <v>777777</v>
      </c>
      <c r="F33" s="7">
        <v>55555</v>
      </c>
      <c r="G33" s="7">
        <v>4444</v>
      </c>
      <c r="H33" s="7">
        <v>33333</v>
      </c>
    </row>
    <row r="34" spans="1:8" x14ac:dyDescent="0.4">
      <c r="A34" s="55" t="s">
        <v>594</v>
      </c>
      <c r="B34" s="59">
        <v>1111111</v>
      </c>
      <c r="C34" s="7">
        <v>99999</v>
      </c>
      <c r="D34" s="7">
        <v>8888</v>
      </c>
      <c r="E34" s="7">
        <v>777777</v>
      </c>
      <c r="F34" s="7">
        <v>55555</v>
      </c>
      <c r="G34" s="7">
        <v>4444</v>
      </c>
      <c r="H34" s="7">
        <v>33333</v>
      </c>
    </row>
    <row r="35" spans="1:8" x14ac:dyDescent="0.4">
      <c r="A35" s="55" t="s">
        <v>595</v>
      </c>
      <c r="B35" s="59">
        <v>1111111</v>
      </c>
      <c r="C35" s="7">
        <v>99999</v>
      </c>
      <c r="D35" s="7">
        <v>8888</v>
      </c>
      <c r="E35" s="7">
        <v>777777</v>
      </c>
      <c r="F35" s="7">
        <v>55555</v>
      </c>
      <c r="G35" s="7">
        <v>4444</v>
      </c>
      <c r="H35" s="7">
        <v>33333</v>
      </c>
    </row>
    <row r="36" spans="1:8" x14ac:dyDescent="0.4">
      <c r="A36" s="55" t="s">
        <v>596</v>
      </c>
      <c r="B36" s="59">
        <v>1111111</v>
      </c>
      <c r="C36" s="7">
        <v>99999</v>
      </c>
      <c r="D36" s="7">
        <v>8888</v>
      </c>
      <c r="E36" s="7">
        <v>777777</v>
      </c>
      <c r="F36" s="7">
        <v>55555</v>
      </c>
      <c r="G36" s="7">
        <v>4444</v>
      </c>
      <c r="H36" s="7">
        <v>33333</v>
      </c>
    </row>
    <row r="37" spans="1:8" x14ac:dyDescent="0.4">
      <c r="A37" s="55" t="s">
        <v>597</v>
      </c>
      <c r="B37" s="59">
        <v>1111111</v>
      </c>
      <c r="C37" s="7">
        <v>99999</v>
      </c>
      <c r="D37" s="7">
        <v>8888</v>
      </c>
      <c r="E37" s="7">
        <v>777777</v>
      </c>
      <c r="F37" s="7">
        <v>55555</v>
      </c>
      <c r="G37" s="7">
        <v>4444</v>
      </c>
      <c r="H37" s="7">
        <v>33333</v>
      </c>
    </row>
    <row r="38" spans="1:8" x14ac:dyDescent="0.4">
      <c r="A38" s="55" t="s">
        <v>598</v>
      </c>
      <c r="B38" s="59">
        <v>1111111</v>
      </c>
      <c r="C38" s="7">
        <v>99999</v>
      </c>
      <c r="D38" s="7">
        <v>8888</v>
      </c>
      <c r="E38" s="7">
        <v>777777</v>
      </c>
      <c r="F38" s="7">
        <v>55555</v>
      </c>
      <c r="G38" s="7">
        <v>4444</v>
      </c>
      <c r="H38" s="7">
        <v>33333</v>
      </c>
    </row>
    <row r="39" spans="1:8" x14ac:dyDescent="0.4">
      <c r="A39" s="55" t="s">
        <v>599</v>
      </c>
      <c r="B39" s="59">
        <v>1111111</v>
      </c>
      <c r="C39" s="7">
        <v>99999</v>
      </c>
      <c r="D39" s="7">
        <v>8888</v>
      </c>
      <c r="E39" s="7">
        <v>777777</v>
      </c>
      <c r="F39" s="7">
        <v>55555</v>
      </c>
      <c r="G39" s="7">
        <v>4444</v>
      </c>
      <c r="H39" s="7">
        <v>33333</v>
      </c>
    </row>
    <row r="40" spans="1:8" x14ac:dyDescent="0.4">
      <c r="A40" s="55" t="s">
        <v>600</v>
      </c>
      <c r="B40" s="59">
        <v>1111111</v>
      </c>
      <c r="C40" s="7">
        <v>99999</v>
      </c>
      <c r="D40" s="7">
        <v>8888</v>
      </c>
      <c r="E40" s="7">
        <v>777777</v>
      </c>
      <c r="F40" s="7">
        <v>55555</v>
      </c>
      <c r="G40" s="7">
        <v>4444</v>
      </c>
      <c r="H40" s="7">
        <v>33333</v>
      </c>
    </row>
    <row r="41" spans="1:8" x14ac:dyDescent="0.4">
      <c r="A41" s="55" t="s">
        <v>601</v>
      </c>
      <c r="B41" s="59">
        <v>1111111</v>
      </c>
      <c r="C41" s="7">
        <v>99999</v>
      </c>
      <c r="D41" s="7">
        <v>8888</v>
      </c>
      <c r="E41" s="7">
        <v>777777</v>
      </c>
      <c r="F41" s="7">
        <v>55555</v>
      </c>
      <c r="G41" s="7">
        <v>4444</v>
      </c>
      <c r="H41" s="7">
        <v>33333</v>
      </c>
    </row>
    <row r="42" spans="1:8" x14ac:dyDescent="0.4">
      <c r="A42" s="55" t="s">
        <v>602</v>
      </c>
      <c r="B42" s="59">
        <v>1111111</v>
      </c>
      <c r="C42" s="7">
        <v>99999</v>
      </c>
      <c r="D42" s="7">
        <v>8888</v>
      </c>
      <c r="E42" s="7">
        <v>777777</v>
      </c>
      <c r="F42" s="7">
        <v>55555</v>
      </c>
      <c r="G42" s="7">
        <v>4444</v>
      </c>
      <c r="H42" s="7">
        <v>33333</v>
      </c>
    </row>
    <row r="43" spans="1:8" x14ac:dyDescent="0.4">
      <c r="A43" s="55" t="s">
        <v>603</v>
      </c>
      <c r="B43" s="59">
        <v>1111111</v>
      </c>
      <c r="C43" s="7">
        <v>99999</v>
      </c>
      <c r="D43" s="7">
        <v>8888</v>
      </c>
      <c r="E43" s="7">
        <v>777777</v>
      </c>
      <c r="F43" s="7">
        <v>55555</v>
      </c>
      <c r="G43" s="7">
        <v>4444</v>
      </c>
      <c r="H43" s="7">
        <v>33333</v>
      </c>
    </row>
    <row r="44" spans="1:8" x14ac:dyDescent="0.4">
      <c r="A44" s="55" t="s">
        <v>604</v>
      </c>
      <c r="B44" s="59">
        <v>1111111</v>
      </c>
      <c r="C44" s="7">
        <v>99999</v>
      </c>
      <c r="D44" s="7">
        <v>8888</v>
      </c>
      <c r="E44" s="7">
        <v>777777</v>
      </c>
      <c r="F44" s="7">
        <v>55555</v>
      </c>
      <c r="G44" s="7">
        <v>4444</v>
      </c>
      <c r="H44" s="7">
        <v>33333</v>
      </c>
    </row>
    <row r="45" spans="1:8" x14ac:dyDescent="0.4">
      <c r="A45" s="55" t="s">
        <v>605</v>
      </c>
      <c r="B45" s="59">
        <v>1111111</v>
      </c>
      <c r="C45" s="7">
        <v>99999</v>
      </c>
      <c r="D45" s="7">
        <v>8888</v>
      </c>
      <c r="E45" s="7">
        <v>777777</v>
      </c>
      <c r="F45" s="7">
        <v>55555</v>
      </c>
      <c r="G45" s="7">
        <v>4444</v>
      </c>
      <c r="H45" s="7">
        <v>33333</v>
      </c>
    </row>
    <row r="46" spans="1:8" x14ac:dyDescent="0.4">
      <c r="A46" s="55" t="s">
        <v>606</v>
      </c>
      <c r="B46" s="59">
        <v>1111111</v>
      </c>
      <c r="C46" s="7">
        <v>99999</v>
      </c>
      <c r="D46" s="7">
        <v>8888</v>
      </c>
      <c r="E46" s="7">
        <v>777777</v>
      </c>
      <c r="F46" s="7">
        <v>55555</v>
      </c>
      <c r="G46" s="7">
        <v>4444</v>
      </c>
      <c r="H46" s="7">
        <v>33333</v>
      </c>
    </row>
    <row r="47" spans="1:8" x14ac:dyDescent="0.4">
      <c r="A47" s="55" t="s">
        <v>607</v>
      </c>
      <c r="B47" s="59">
        <v>1111111</v>
      </c>
      <c r="C47" s="7">
        <v>99999</v>
      </c>
      <c r="D47" s="7">
        <v>8888</v>
      </c>
      <c r="E47" s="7">
        <v>777777</v>
      </c>
      <c r="F47" s="7">
        <v>55555</v>
      </c>
      <c r="G47" s="7">
        <v>4444</v>
      </c>
      <c r="H47" s="7">
        <v>33333</v>
      </c>
    </row>
    <row r="48" spans="1:8" x14ac:dyDescent="0.4">
      <c r="A48" s="55" t="s">
        <v>608</v>
      </c>
      <c r="B48" s="59">
        <v>1111111</v>
      </c>
      <c r="C48" s="7">
        <v>99999</v>
      </c>
      <c r="D48" s="7">
        <v>8888</v>
      </c>
      <c r="E48" s="7">
        <v>777777</v>
      </c>
      <c r="F48" s="7">
        <v>55555</v>
      </c>
      <c r="G48" s="7">
        <v>4444</v>
      </c>
      <c r="H48" s="7">
        <v>33333</v>
      </c>
    </row>
    <row r="49" spans="1:8" x14ac:dyDescent="0.4">
      <c r="A49" s="55" t="s">
        <v>609</v>
      </c>
      <c r="B49" s="59">
        <v>1111111</v>
      </c>
      <c r="C49" s="7">
        <v>99999</v>
      </c>
      <c r="D49" s="7">
        <v>8888</v>
      </c>
      <c r="E49" s="7">
        <v>777777</v>
      </c>
      <c r="F49" s="7">
        <v>55555</v>
      </c>
      <c r="G49" s="7">
        <v>4444</v>
      </c>
      <c r="H49" s="7">
        <v>33333</v>
      </c>
    </row>
    <row r="50" spans="1:8" x14ac:dyDescent="0.4">
      <c r="A50" s="55" t="s">
        <v>610</v>
      </c>
      <c r="B50" s="58">
        <v>1111111</v>
      </c>
      <c r="C50" s="6">
        <v>99999</v>
      </c>
      <c r="D50" s="6">
        <v>8888</v>
      </c>
      <c r="E50" s="6">
        <v>777777</v>
      </c>
      <c r="F50" s="6">
        <v>55555</v>
      </c>
      <c r="G50" s="6">
        <v>4444</v>
      </c>
      <c r="H50" s="6">
        <v>33333</v>
      </c>
    </row>
    <row r="51" spans="1:8" x14ac:dyDescent="0.4">
      <c r="A51" s="55" t="s">
        <v>611</v>
      </c>
      <c r="B51" s="59"/>
      <c r="C51" s="7"/>
      <c r="D51" s="7"/>
      <c r="E51" s="7"/>
      <c r="F51" s="7"/>
      <c r="G51" s="7"/>
      <c r="H51" s="7"/>
    </row>
    <row r="52" spans="1:8" x14ac:dyDescent="0.4">
      <c r="A52" s="55" t="s">
        <v>612</v>
      </c>
      <c r="B52" s="59">
        <v>1111111</v>
      </c>
      <c r="C52" s="7">
        <v>99999</v>
      </c>
      <c r="D52" s="7">
        <v>8888</v>
      </c>
      <c r="E52" s="7">
        <v>777777</v>
      </c>
      <c r="F52" s="7">
        <v>55555</v>
      </c>
      <c r="G52" s="7">
        <v>4444</v>
      </c>
      <c r="H52" s="7">
        <v>33333</v>
      </c>
    </row>
    <row r="53" spans="1:8" x14ac:dyDescent="0.4">
      <c r="A53" s="55" t="s">
        <v>613</v>
      </c>
      <c r="B53" s="59">
        <v>1111111</v>
      </c>
      <c r="C53" s="7">
        <v>99999</v>
      </c>
      <c r="D53" s="7">
        <v>8888</v>
      </c>
      <c r="E53" s="7">
        <v>777777</v>
      </c>
      <c r="F53" s="7">
        <v>55555</v>
      </c>
      <c r="G53" s="7">
        <v>4444</v>
      </c>
      <c r="H53" s="7">
        <v>33333</v>
      </c>
    </row>
    <row r="54" spans="1:8" x14ac:dyDescent="0.4">
      <c r="A54" s="55" t="s">
        <v>614</v>
      </c>
      <c r="B54" s="59">
        <v>1111111</v>
      </c>
      <c r="C54" s="7">
        <v>99999</v>
      </c>
      <c r="D54" s="7">
        <v>8888</v>
      </c>
      <c r="E54" s="7">
        <v>777777</v>
      </c>
      <c r="F54" s="7">
        <v>55555</v>
      </c>
      <c r="G54" s="7">
        <v>4444</v>
      </c>
      <c r="H54" s="7">
        <v>33333</v>
      </c>
    </row>
    <row r="55" spans="1:8" x14ac:dyDescent="0.4">
      <c r="A55" s="55" t="s">
        <v>615</v>
      </c>
      <c r="B55" s="59">
        <v>1111111</v>
      </c>
      <c r="C55" s="7">
        <v>99999</v>
      </c>
      <c r="D55" s="7">
        <v>8888</v>
      </c>
      <c r="E55" s="7">
        <v>777777</v>
      </c>
      <c r="F55" s="7">
        <v>55555</v>
      </c>
      <c r="G55" s="7">
        <v>4444</v>
      </c>
      <c r="H55" s="7">
        <v>33333</v>
      </c>
    </row>
    <row r="56" spans="1:8" x14ac:dyDescent="0.4">
      <c r="A56" s="55" t="s">
        <v>616</v>
      </c>
      <c r="B56" s="58">
        <v>1111111</v>
      </c>
      <c r="C56" s="6">
        <v>99999</v>
      </c>
      <c r="D56" s="6">
        <v>8888</v>
      </c>
      <c r="E56" s="6">
        <v>777777</v>
      </c>
      <c r="F56" s="6">
        <v>55555</v>
      </c>
      <c r="G56" s="6">
        <v>4444</v>
      </c>
      <c r="H56" s="6">
        <v>33333</v>
      </c>
    </row>
    <row r="57" spans="1:8" x14ac:dyDescent="0.4">
      <c r="A57" s="55" t="s">
        <v>617</v>
      </c>
      <c r="B57" s="59">
        <v>1111111</v>
      </c>
      <c r="C57" s="7">
        <v>99999</v>
      </c>
      <c r="D57" s="7">
        <v>8888</v>
      </c>
      <c r="E57" s="7">
        <v>777777</v>
      </c>
      <c r="F57" s="7">
        <v>55555</v>
      </c>
      <c r="G57" s="7">
        <v>4444</v>
      </c>
      <c r="H57" s="7">
        <v>33333</v>
      </c>
    </row>
    <row r="58" spans="1:8" x14ac:dyDescent="0.4">
      <c r="A58" s="55" t="s">
        <v>618</v>
      </c>
      <c r="B58" s="59"/>
      <c r="C58" s="7"/>
      <c r="D58" s="7"/>
      <c r="E58" s="7"/>
      <c r="F58" s="7"/>
      <c r="G58" s="7"/>
      <c r="H58" s="7"/>
    </row>
    <row r="59" spans="1:8" x14ac:dyDescent="0.4">
      <c r="A59" s="55" t="s">
        <v>619</v>
      </c>
      <c r="B59" s="59">
        <v>1111111</v>
      </c>
      <c r="C59" s="7">
        <v>99999</v>
      </c>
      <c r="D59" s="7">
        <v>8888</v>
      </c>
      <c r="E59" s="7">
        <v>777777</v>
      </c>
      <c r="F59" s="7">
        <v>55555</v>
      </c>
      <c r="G59" s="7">
        <v>4444</v>
      </c>
      <c r="H59" s="7">
        <v>33333</v>
      </c>
    </row>
    <row r="60" spans="1:8" x14ac:dyDescent="0.4">
      <c r="A60" s="55" t="s">
        <v>620</v>
      </c>
      <c r="B60" s="59">
        <v>1111111</v>
      </c>
      <c r="C60" s="7">
        <v>99999</v>
      </c>
      <c r="D60" s="7">
        <v>8888</v>
      </c>
      <c r="E60" s="7">
        <v>777777</v>
      </c>
      <c r="F60" s="7">
        <v>55555</v>
      </c>
      <c r="G60" s="7">
        <v>4444</v>
      </c>
      <c r="H60" s="7">
        <v>33333</v>
      </c>
    </row>
    <row r="61" spans="1:8" x14ac:dyDescent="0.4">
      <c r="A61" s="55" t="s">
        <v>621</v>
      </c>
      <c r="B61" s="59">
        <v>1111111</v>
      </c>
      <c r="C61" s="7">
        <v>99999</v>
      </c>
      <c r="D61" s="7">
        <v>8888</v>
      </c>
      <c r="E61" s="7">
        <v>777777</v>
      </c>
      <c r="F61" s="7">
        <v>55555</v>
      </c>
      <c r="G61" s="7">
        <v>4444</v>
      </c>
      <c r="H61" s="7">
        <v>33333</v>
      </c>
    </row>
    <row r="62" spans="1:8" x14ac:dyDescent="0.4">
      <c r="A62" s="55" t="s">
        <v>622</v>
      </c>
      <c r="B62" s="59">
        <v>1111111</v>
      </c>
      <c r="C62" s="7">
        <v>99999</v>
      </c>
      <c r="D62" s="7">
        <v>8888</v>
      </c>
      <c r="E62" s="7">
        <v>777777</v>
      </c>
      <c r="F62" s="7">
        <v>55555</v>
      </c>
      <c r="G62" s="7">
        <v>4444</v>
      </c>
      <c r="H62" s="7">
        <v>33333</v>
      </c>
    </row>
    <row r="63" spans="1:8" x14ac:dyDescent="0.4">
      <c r="A63" s="55" t="s">
        <v>623</v>
      </c>
      <c r="B63" s="59"/>
      <c r="C63" s="7"/>
      <c r="D63" s="7"/>
      <c r="E63" s="7"/>
      <c r="F63" s="7"/>
      <c r="G63" s="7"/>
      <c r="H63" s="7"/>
    </row>
    <row r="64" spans="1:8" x14ac:dyDescent="0.4">
      <c r="A64" s="55" t="s">
        <v>624</v>
      </c>
      <c r="B64" s="59">
        <v>1111111</v>
      </c>
      <c r="C64" s="7">
        <v>99999</v>
      </c>
      <c r="D64" s="7">
        <v>8888</v>
      </c>
      <c r="E64" s="7">
        <v>777777</v>
      </c>
      <c r="F64" s="7">
        <v>55555</v>
      </c>
      <c r="G64" s="7">
        <v>4444</v>
      </c>
      <c r="H64" s="7">
        <v>33333</v>
      </c>
    </row>
    <row r="65" spans="1:8" x14ac:dyDescent="0.4">
      <c r="A65" s="55" t="s">
        <v>625</v>
      </c>
      <c r="B65" s="59"/>
      <c r="C65" s="7"/>
      <c r="D65" s="7"/>
      <c r="E65" s="7"/>
      <c r="F65" s="7"/>
      <c r="G65" s="7"/>
      <c r="H65" s="7"/>
    </row>
    <row r="66" spans="1:8" x14ac:dyDescent="0.4">
      <c r="A66" s="55" t="s">
        <v>626</v>
      </c>
      <c r="B66" s="59">
        <v>1111111</v>
      </c>
      <c r="C66" s="7">
        <v>99999</v>
      </c>
      <c r="D66" s="7">
        <v>8888</v>
      </c>
      <c r="E66" s="7">
        <v>777777</v>
      </c>
      <c r="F66" s="7">
        <v>55555</v>
      </c>
      <c r="G66" s="7">
        <v>4444</v>
      </c>
      <c r="H66" s="7">
        <v>33333</v>
      </c>
    </row>
    <row r="67" spans="1:8" x14ac:dyDescent="0.4">
      <c r="A67" s="55" t="s">
        <v>627</v>
      </c>
      <c r="B67" s="59"/>
      <c r="C67" s="7"/>
      <c r="D67" s="7"/>
      <c r="E67" s="7"/>
      <c r="F67" s="7"/>
      <c r="G67" s="7"/>
      <c r="H67" s="7"/>
    </row>
    <row r="68" spans="1:8" x14ac:dyDescent="0.4">
      <c r="A68" s="55" t="s">
        <v>628</v>
      </c>
      <c r="B68" s="59">
        <v>1111111</v>
      </c>
      <c r="C68" s="7">
        <v>99999</v>
      </c>
      <c r="D68" s="7">
        <v>8888</v>
      </c>
      <c r="E68" s="7">
        <v>777777</v>
      </c>
      <c r="F68" s="7">
        <v>55555</v>
      </c>
      <c r="G68" s="7">
        <v>4444</v>
      </c>
      <c r="H68" s="7">
        <v>33333</v>
      </c>
    </row>
    <row r="69" spans="1:8" x14ac:dyDescent="0.4">
      <c r="A69" s="55" t="s">
        <v>629</v>
      </c>
      <c r="B69" s="59">
        <v>1111111</v>
      </c>
      <c r="C69" s="7">
        <v>99999</v>
      </c>
      <c r="D69" s="7">
        <v>8888</v>
      </c>
      <c r="E69" s="7">
        <v>777777</v>
      </c>
      <c r="F69" s="7">
        <v>55555</v>
      </c>
      <c r="G69" s="7">
        <v>4444</v>
      </c>
      <c r="H69" s="7">
        <v>33333</v>
      </c>
    </row>
    <row r="70" spans="1:8" x14ac:dyDescent="0.4">
      <c r="A70" s="55" t="s">
        <v>630</v>
      </c>
      <c r="B70" s="59">
        <v>1111111</v>
      </c>
      <c r="C70" s="7">
        <v>99999</v>
      </c>
      <c r="D70" s="7">
        <v>8888</v>
      </c>
      <c r="E70" s="7">
        <v>777777</v>
      </c>
      <c r="F70" s="7">
        <v>55555</v>
      </c>
      <c r="G70" s="7">
        <v>4444</v>
      </c>
      <c r="H70" s="7">
        <v>33333</v>
      </c>
    </row>
  </sheetData>
  <mergeCells count="1">
    <mergeCell ref="A1:C1"/>
  </mergeCells>
  <phoneticPr fontId="3"/>
  <pageMargins left="0.25" right="0.25" top="0.75" bottom="0.75" header="0.3" footer="0.3"/>
  <pageSetup paperSize="8" scale="82" orientation="portrait"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228A6-9A9C-4972-A49B-FC037BE0EA39}">
  <sheetPr>
    <pageSetUpPr fitToPage="1"/>
  </sheetPr>
  <dimension ref="A1:H97"/>
  <sheetViews>
    <sheetView view="pageBreakPreview" zoomScaleNormal="100" zoomScaleSheetLayoutView="100" workbookViewId="0">
      <selection sqref="A1:C1"/>
    </sheetView>
  </sheetViews>
  <sheetFormatPr defaultRowHeight="18.75" x14ac:dyDescent="0.4"/>
  <cols>
    <col min="1" max="1" width="27.25" customWidth="1"/>
    <col min="2" max="2" width="15.375" customWidth="1"/>
    <col min="3" max="8" width="16.625" customWidth="1"/>
  </cols>
  <sheetData>
    <row r="1" spans="1:8" ht="33" x14ac:dyDescent="0.4">
      <c r="A1" s="439" t="s">
        <v>743</v>
      </c>
      <c r="B1" s="439"/>
      <c r="C1" s="439"/>
    </row>
    <row r="2" spans="1:8" x14ac:dyDescent="0.4">
      <c r="A2" s="62" t="s">
        <v>646</v>
      </c>
      <c r="B2" s="62"/>
      <c r="C2" s="62" t="s">
        <v>631</v>
      </c>
      <c r="D2" s="62"/>
      <c r="E2" s="62"/>
      <c r="F2" s="62"/>
      <c r="G2" s="62"/>
      <c r="H2" s="62"/>
    </row>
    <row r="3" spans="1:8" ht="36.75" customHeight="1" x14ac:dyDescent="0.4">
      <c r="A3" s="63" t="s">
        <v>563</v>
      </c>
      <c r="B3" s="63" t="s">
        <v>356</v>
      </c>
      <c r="C3" s="64" t="s">
        <v>633</v>
      </c>
      <c r="D3" s="65" t="s">
        <v>635</v>
      </c>
      <c r="E3" s="65" t="s">
        <v>639</v>
      </c>
      <c r="F3" s="65" t="s">
        <v>637</v>
      </c>
      <c r="G3" s="65" t="s">
        <v>641</v>
      </c>
      <c r="H3" s="65" t="s">
        <v>643</v>
      </c>
    </row>
    <row r="4" spans="1:8" x14ac:dyDescent="0.4">
      <c r="A4" s="55" t="s">
        <v>647</v>
      </c>
      <c r="B4" s="66"/>
      <c r="C4" s="7"/>
      <c r="D4" s="7"/>
      <c r="E4" s="7"/>
      <c r="F4" s="7"/>
      <c r="G4" s="7"/>
      <c r="H4" s="7"/>
    </row>
    <row r="5" spans="1:8" x14ac:dyDescent="0.4">
      <c r="A5" s="55" t="s">
        <v>648</v>
      </c>
      <c r="B5" s="66">
        <v>999999</v>
      </c>
      <c r="C5" s="7">
        <v>999999</v>
      </c>
      <c r="D5" s="7">
        <v>999999</v>
      </c>
      <c r="E5" s="7">
        <v>999999</v>
      </c>
      <c r="F5" s="7">
        <v>999999</v>
      </c>
      <c r="G5" s="7">
        <v>999999</v>
      </c>
      <c r="H5" s="7">
        <v>999999</v>
      </c>
    </row>
    <row r="6" spans="1:8" x14ac:dyDescent="0.4">
      <c r="A6" s="55" t="s">
        <v>649</v>
      </c>
      <c r="B6" s="66">
        <v>999999</v>
      </c>
      <c r="C6" s="7">
        <v>999999</v>
      </c>
      <c r="D6" s="7">
        <v>999999</v>
      </c>
      <c r="E6" s="7">
        <v>999999</v>
      </c>
      <c r="F6" s="7">
        <v>999999</v>
      </c>
      <c r="G6" s="7">
        <v>999999</v>
      </c>
      <c r="H6" s="7">
        <v>999999</v>
      </c>
    </row>
    <row r="7" spans="1:8" x14ac:dyDescent="0.4">
      <c r="A7" s="55" t="s">
        <v>650</v>
      </c>
      <c r="B7" s="66">
        <v>999999</v>
      </c>
      <c r="C7" s="7">
        <v>999999</v>
      </c>
      <c r="D7" s="7">
        <v>999999</v>
      </c>
      <c r="E7" s="7">
        <v>999999</v>
      </c>
      <c r="F7" s="7">
        <v>999999</v>
      </c>
      <c r="G7" s="7">
        <v>999999</v>
      </c>
      <c r="H7" s="7">
        <v>999999</v>
      </c>
    </row>
    <row r="8" spans="1:8" x14ac:dyDescent="0.4">
      <c r="A8" s="55" t="s">
        <v>651</v>
      </c>
      <c r="B8" s="66">
        <v>999999</v>
      </c>
      <c r="C8" s="7">
        <v>999999</v>
      </c>
      <c r="D8" s="7">
        <v>999999</v>
      </c>
      <c r="E8" s="7">
        <v>999999</v>
      </c>
      <c r="F8" s="7">
        <v>999999</v>
      </c>
      <c r="G8" s="7">
        <v>999999</v>
      </c>
      <c r="H8" s="7">
        <v>999999</v>
      </c>
    </row>
    <row r="9" spans="1:8" x14ac:dyDescent="0.4">
      <c r="A9" s="55" t="s">
        <v>652</v>
      </c>
      <c r="B9" s="66"/>
      <c r="C9" s="7"/>
      <c r="D9" s="7"/>
      <c r="E9" s="7"/>
      <c r="F9" s="7"/>
      <c r="G9" s="7"/>
      <c r="H9" s="7"/>
    </row>
    <row r="10" spans="1:8" x14ac:dyDescent="0.4">
      <c r="A10" s="55" t="s">
        <v>653</v>
      </c>
      <c r="B10" s="66">
        <v>999999</v>
      </c>
      <c r="C10" s="7">
        <v>999999</v>
      </c>
      <c r="D10" s="7">
        <v>999999</v>
      </c>
      <c r="E10" s="7">
        <v>999999</v>
      </c>
      <c r="F10" s="7">
        <v>999999</v>
      </c>
      <c r="G10" s="7">
        <v>999999</v>
      </c>
      <c r="H10" s="7">
        <v>999999</v>
      </c>
    </row>
    <row r="11" spans="1:8" x14ac:dyDescent="0.4">
      <c r="A11" s="55" t="s">
        <v>654</v>
      </c>
      <c r="B11" s="66">
        <v>999999</v>
      </c>
      <c r="C11" s="7">
        <v>999999</v>
      </c>
      <c r="D11" s="7">
        <v>999999</v>
      </c>
      <c r="E11" s="7">
        <v>999999</v>
      </c>
      <c r="F11" s="7">
        <v>999999</v>
      </c>
      <c r="G11" s="7">
        <v>999999</v>
      </c>
      <c r="H11" s="7">
        <v>999999</v>
      </c>
    </row>
    <row r="12" spans="1:8" x14ac:dyDescent="0.4">
      <c r="A12" s="55" t="s">
        <v>655</v>
      </c>
      <c r="B12" s="66"/>
      <c r="C12" s="7"/>
      <c r="D12" s="7"/>
      <c r="E12" s="7"/>
      <c r="F12" s="7"/>
      <c r="G12" s="7"/>
      <c r="H12" s="7"/>
    </row>
    <row r="13" spans="1:8" x14ac:dyDescent="0.4">
      <c r="A13" s="55" t="s">
        <v>656</v>
      </c>
      <c r="B13" s="66">
        <v>999999</v>
      </c>
      <c r="C13" s="7">
        <v>999999</v>
      </c>
      <c r="D13" s="7">
        <v>999999</v>
      </c>
      <c r="E13" s="7">
        <v>999999</v>
      </c>
      <c r="F13" s="7">
        <v>999999</v>
      </c>
      <c r="G13" s="7">
        <v>999999</v>
      </c>
      <c r="H13" s="7">
        <v>999999</v>
      </c>
    </row>
    <row r="14" spans="1:8" x14ac:dyDescent="0.4">
      <c r="A14" s="55" t="s">
        <v>657</v>
      </c>
      <c r="B14" s="66"/>
      <c r="C14" s="7"/>
      <c r="D14" s="7"/>
      <c r="E14" s="7"/>
      <c r="F14" s="7"/>
      <c r="G14" s="7"/>
      <c r="H14" s="7"/>
    </row>
    <row r="15" spans="1:8" x14ac:dyDescent="0.4">
      <c r="A15" s="55" t="s">
        <v>658</v>
      </c>
      <c r="B15" s="66">
        <v>999999</v>
      </c>
      <c r="C15" s="7">
        <v>999999</v>
      </c>
      <c r="D15" s="7">
        <v>999999</v>
      </c>
      <c r="E15" s="7">
        <v>999999</v>
      </c>
      <c r="F15" s="7">
        <v>999999</v>
      </c>
      <c r="G15" s="7">
        <v>999999</v>
      </c>
      <c r="H15" s="7">
        <v>999999</v>
      </c>
    </row>
    <row r="16" spans="1:8" x14ac:dyDescent="0.4">
      <c r="A16" s="55" t="s">
        <v>659</v>
      </c>
      <c r="B16" s="66"/>
      <c r="C16" s="7"/>
      <c r="D16" s="7"/>
      <c r="E16" s="7"/>
      <c r="F16" s="7"/>
      <c r="G16" s="7"/>
      <c r="H16" s="7"/>
    </row>
    <row r="17" spans="1:8" x14ac:dyDescent="0.4">
      <c r="A17" s="55" t="s">
        <v>660</v>
      </c>
      <c r="B17" s="66">
        <v>999999</v>
      </c>
      <c r="C17" s="7">
        <v>999999</v>
      </c>
      <c r="D17" s="7">
        <v>999999</v>
      </c>
      <c r="E17" s="7">
        <v>999999</v>
      </c>
      <c r="F17" s="7">
        <v>999999</v>
      </c>
      <c r="G17" s="7">
        <v>999999</v>
      </c>
      <c r="H17" s="7">
        <v>999999</v>
      </c>
    </row>
    <row r="18" spans="1:8" x14ac:dyDescent="0.4">
      <c r="A18" s="55" t="s">
        <v>661</v>
      </c>
      <c r="B18" s="66">
        <v>999999</v>
      </c>
      <c r="C18" s="7">
        <v>999999</v>
      </c>
      <c r="D18" s="7">
        <v>999999</v>
      </c>
      <c r="E18" s="7">
        <v>999999</v>
      </c>
      <c r="F18" s="7">
        <v>999999</v>
      </c>
      <c r="G18" s="7">
        <v>999999</v>
      </c>
      <c r="H18" s="7">
        <v>999999</v>
      </c>
    </row>
    <row r="19" spans="1:8" x14ac:dyDescent="0.4">
      <c r="A19" s="55" t="s">
        <v>662</v>
      </c>
      <c r="B19" s="66">
        <v>999999</v>
      </c>
      <c r="C19" s="7">
        <v>999999</v>
      </c>
      <c r="D19" s="7">
        <v>999999</v>
      </c>
      <c r="E19" s="7">
        <v>999999</v>
      </c>
      <c r="F19" s="7">
        <v>999999</v>
      </c>
      <c r="G19" s="7">
        <v>999999</v>
      </c>
      <c r="H19" s="7">
        <v>999999</v>
      </c>
    </row>
    <row r="20" spans="1:8" x14ac:dyDescent="0.4">
      <c r="A20" s="55" t="s">
        <v>663</v>
      </c>
      <c r="B20" s="66">
        <v>999999</v>
      </c>
      <c r="C20" s="7">
        <v>999999</v>
      </c>
      <c r="D20" s="7">
        <v>999999</v>
      </c>
      <c r="E20" s="7">
        <v>999999</v>
      </c>
      <c r="F20" s="7">
        <v>999999</v>
      </c>
      <c r="G20" s="7">
        <v>999999</v>
      </c>
      <c r="H20" s="7">
        <v>999999</v>
      </c>
    </row>
    <row r="21" spans="1:8" x14ac:dyDescent="0.4">
      <c r="A21" s="55" t="s">
        <v>664</v>
      </c>
      <c r="B21" s="66">
        <v>999999</v>
      </c>
      <c r="C21" s="7">
        <v>999999</v>
      </c>
      <c r="D21" s="7">
        <v>999999</v>
      </c>
      <c r="E21" s="7">
        <v>999999</v>
      </c>
      <c r="F21" s="7">
        <v>999999</v>
      </c>
      <c r="G21" s="7">
        <v>999999</v>
      </c>
      <c r="H21" s="7">
        <v>999999</v>
      </c>
    </row>
    <row r="22" spans="1:8" x14ac:dyDescent="0.4">
      <c r="A22" s="55" t="s">
        <v>665</v>
      </c>
      <c r="B22" s="66">
        <v>999999</v>
      </c>
      <c r="C22" s="7">
        <v>999999</v>
      </c>
      <c r="D22" s="7">
        <v>999999</v>
      </c>
      <c r="E22" s="7">
        <v>999999</v>
      </c>
      <c r="F22" s="7">
        <v>999999</v>
      </c>
      <c r="G22" s="7">
        <v>999999</v>
      </c>
      <c r="H22" s="7">
        <v>999999</v>
      </c>
    </row>
    <row r="23" spans="1:8" x14ac:dyDescent="0.4">
      <c r="A23" s="55" t="s">
        <v>666</v>
      </c>
      <c r="B23" s="66">
        <v>999999</v>
      </c>
      <c r="C23" s="7">
        <v>999999</v>
      </c>
      <c r="D23" s="7">
        <v>999999</v>
      </c>
      <c r="E23" s="7">
        <v>999999</v>
      </c>
      <c r="F23" s="7">
        <v>999999</v>
      </c>
      <c r="G23" s="7">
        <v>999999</v>
      </c>
      <c r="H23" s="7">
        <v>999999</v>
      </c>
    </row>
    <row r="24" spans="1:8" x14ac:dyDescent="0.4">
      <c r="A24" s="55" t="s">
        <v>667</v>
      </c>
      <c r="B24" s="66">
        <v>999999</v>
      </c>
      <c r="C24" s="7">
        <v>999999</v>
      </c>
      <c r="D24" s="7">
        <v>999999</v>
      </c>
      <c r="E24" s="7">
        <v>999999</v>
      </c>
      <c r="F24" s="7">
        <v>999999</v>
      </c>
      <c r="G24" s="7">
        <v>999999</v>
      </c>
      <c r="H24" s="7">
        <v>999999</v>
      </c>
    </row>
    <row r="25" spans="1:8" x14ac:dyDescent="0.4">
      <c r="A25" s="55" t="s">
        <v>668</v>
      </c>
      <c r="B25" s="66">
        <v>999999</v>
      </c>
      <c r="C25" s="7">
        <v>999999</v>
      </c>
      <c r="D25" s="7">
        <v>999999</v>
      </c>
      <c r="E25" s="7">
        <v>999999</v>
      </c>
      <c r="F25" s="7">
        <v>999999</v>
      </c>
      <c r="G25" s="7">
        <v>999999</v>
      </c>
      <c r="H25" s="7">
        <v>999999</v>
      </c>
    </row>
    <row r="26" spans="1:8" x14ac:dyDescent="0.4">
      <c r="A26" s="55" t="s">
        <v>669</v>
      </c>
      <c r="B26" s="66"/>
      <c r="C26" s="7"/>
      <c r="D26" s="7"/>
      <c r="E26" s="7"/>
      <c r="F26" s="7"/>
      <c r="G26" s="7"/>
      <c r="H26" s="7"/>
    </row>
    <row r="27" spans="1:8" x14ac:dyDescent="0.4">
      <c r="A27" s="55" t="s">
        <v>670</v>
      </c>
      <c r="B27" s="66">
        <v>999999</v>
      </c>
      <c r="C27" s="7">
        <v>999999</v>
      </c>
      <c r="D27" s="7">
        <v>999999</v>
      </c>
      <c r="E27" s="7">
        <v>999999</v>
      </c>
      <c r="F27" s="7">
        <v>999999</v>
      </c>
      <c r="G27" s="7">
        <v>999999</v>
      </c>
      <c r="H27" s="7">
        <v>999999</v>
      </c>
    </row>
    <row r="28" spans="1:8" x14ac:dyDescent="0.4">
      <c r="A28" s="55" t="s">
        <v>671</v>
      </c>
      <c r="B28" s="66">
        <v>999999</v>
      </c>
      <c r="C28" s="7">
        <v>999999</v>
      </c>
      <c r="D28" s="7">
        <v>999999</v>
      </c>
      <c r="E28" s="7">
        <v>999999</v>
      </c>
      <c r="F28" s="7">
        <v>999999</v>
      </c>
      <c r="G28" s="7">
        <v>999999</v>
      </c>
      <c r="H28" s="7">
        <v>999999</v>
      </c>
    </row>
    <row r="29" spans="1:8" x14ac:dyDescent="0.4">
      <c r="A29" s="55" t="s">
        <v>672</v>
      </c>
      <c r="B29" s="66">
        <v>999999</v>
      </c>
      <c r="C29" s="7">
        <v>999999</v>
      </c>
      <c r="D29" s="7">
        <v>999999</v>
      </c>
      <c r="E29" s="7">
        <v>999999</v>
      </c>
      <c r="F29" s="7">
        <v>999999</v>
      </c>
      <c r="G29" s="7">
        <v>999999</v>
      </c>
      <c r="H29" s="7">
        <v>999999</v>
      </c>
    </row>
    <row r="30" spans="1:8" x14ac:dyDescent="0.4">
      <c r="A30" s="55" t="s">
        <v>673</v>
      </c>
      <c r="B30" s="66">
        <v>999999</v>
      </c>
      <c r="C30" s="7">
        <v>999999</v>
      </c>
      <c r="D30" s="7">
        <v>999999</v>
      </c>
      <c r="E30" s="7">
        <v>999999</v>
      </c>
      <c r="F30" s="7">
        <v>999999</v>
      </c>
      <c r="G30" s="7">
        <v>999999</v>
      </c>
      <c r="H30" s="7">
        <v>999999</v>
      </c>
    </row>
    <row r="31" spans="1:8" x14ac:dyDescent="0.4">
      <c r="A31" s="55" t="s">
        <v>674</v>
      </c>
      <c r="B31" s="66">
        <v>999999</v>
      </c>
      <c r="C31" s="7">
        <v>999999</v>
      </c>
      <c r="D31" s="7">
        <v>999999</v>
      </c>
      <c r="E31" s="7">
        <v>999999</v>
      </c>
      <c r="F31" s="7">
        <v>999999</v>
      </c>
      <c r="G31" s="7">
        <v>999999</v>
      </c>
      <c r="H31" s="7">
        <v>999999</v>
      </c>
    </row>
    <row r="32" spans="1:8" x14ac:dyDescent="0.4">
      <c r="A32" s="55" t="s">
        <v>675</v>
      </c>
      <c r="B32" s="66">
        <v>999999</v>
      </c>
      <c r="C32" s="7">
        <v>999999</v>
      </c>
      <c r="D32" s="7">
        <v>999999</v>
      </c>
      <c r="E32" s="7">
        <v>999999</v>
      </c>
      <c r="F32" s="7">
        <v>999999</v>
      </c>
      <c r="G32" s="7">
        <v>999999</v>
      </c>
      <c r="H32" s="7">
        <v>999999</v>
      </c>
    </row>
    <row r="33" spans="1:8" x14ac:dyDescent="0.4">
      <c r="A33" s="55" t="s">
        <v>676</v>
      </c>
      <c r="B33" s="66"/>
      <c r="C33" s="7"/>
      <c r="D33" s="7"/>
      <c r="E33" s="7"/>
      <c r="F33" s="7"/>
      <c r="G33" s="7"/>
      <c r="H33" s="7"/>
    </row>
    <row r="34" spans="1:8" x14ac:dyDescent="0.4">
      <c r="A34" s="55" t="s">
        <v>677</v>
      </c>
      <c r="B34" s="66">
        <v>999999</v>
      </c>
      <c r="C34" s="7">
        <v>999999</v>
      </c>
      <c r="D34" s="7">
        <v>999999</v>
      </c>
      <c r="E34" s="7">
        <v>999999</v>
      </c>
      <c r="F34" s="7">
        <v>999999</v>
      </c>
      <c r="G34" s="7">
        <v>999999</v>
      </c>
      <c r="H34" s="7">
        <v>999999</v>
      </c>
    </row>
    <row r="35" spans="1:8" x14ac:dyDescent="0.4">
      <c r="A35" s="55" t="s">
        <v>678</v>
      </c>
      <c r="B35" s="66"/>
      <c r="C35" s="7"/>
      <c r="D35" s="7"/>
      <c r="E35" s="7"/>
      <c r="F35" s="7"/>
      <c r="G35" s="7"/>
      <c r="H35" s="7"/>
    </row>
    <row r="36" spans="1:8" x14ac:dyDescent="0.4">
      <c r="A36" s="55" t="s">
        <v>679</v>
      </c>
      <c r="B36" s="66">
        <v>999999</v>
      </c>
      <c r="C36" s="7">
        <v>999999</v>
      </c>
      <c r="D36" s="7">
        <v>999999</v>
      </c>
      <c r="E36" s="7">
        <v>999999</v>
      </c>
      <c r="F36" s="7">
        <v>999999</v>
      </c>
      <c r="G36" s="7">
        <v>999999</v>
      </c>
      <c r="H36" s="7">
        <v>999999</v>
      </c>
    </row>
    <row r="37" spans="1:8" x14ac:dyDescent="0.4">
      <c r="A37" s="55" t="s">
        <v>680</v>
      </c>
      <c r="B37" s="66">
        <v>999999</v>
      </c>
      <c r="C37" s="7">
        <v>999999</v>
      </c>
      <c r="D37" s="7">
        <v>999999</v>
      </c>
      <c r="E37" s="7">
        <v>999999</v>
      </c>
      <c r="F37" s="7">
        <v>999999</v>
      </c>
      <c r="G37" s="7">
        <v>999999</v>
      </c>
      <c r="H37" s="7">
        <v>999999</v>
      </c>
    </row>
    <row r="38" spans="1:8" x14ac:dyDescent="0.4">
      <c r="A38" s="55" t="s">
        <v>681</v>
      </c>
      <c r="B38" s="66">
        <v>999999</v>
      </c>
      <c r="C38" s="7">
        <v>999999</v>
      </c>
      <c r="D38" s="7">
        <v>999999</v>
      </c>
      <c r="E38" s="7">
        <v>999999</v>
      </c>
      <c r="F38" s="7">
        <v>999999</v>
      </c>
      <c r="G38" s="7">
        <v>999999</v>
      </c>
      <c r="H38" s="7">
        <v>999999</v>
      </c>
    </row>
    <row r="39" spans="1:8" x14ac:dyDescent="0.4">
      <c r="A39" s="55" t="s">
        <v>682</v>
      </c>
      <c r="B39" s="66">
        <v>999999</v>
      </c>
      <c r="C39" s="7">
        <v>999999</v>
      </c>
      <c r="D39" s="7">
        <v>999999</v>
      </c>
      <c r="E39" s="7">
        <v>999999</v>
      </c>
      <c r="F39" s="7">
        <v>999999</v>
      </c>
      <c r="G39" s="7">
        <v>999999</v>
      </c>
      <c r="H39" s="7">
        <v>999999</v>
      </c>
    </row>
    <row r="40" spans="1:8" x14ac:dyDescent="0.4">
      <c r="A40" s="55" t="s">
        <v>683</v>
      </c>
      <c r="B40" s="66">
        <v>999999</v>
      </c>
      <c r="C40" s="7">
        <v>999999</v>
      </c>
      <c r="D40" s="7">
        <v>999999</v>
      </c>
      <c r="E40" s="7">
        <v>999999</v>
      </c>
      <c r="F40" s="7">
        <v>999999</v>
      </c>
      <c r="G40" s="7">
        <v>999999</v>
      </c>
      <c r="H40" s="7">
        <v>999999</v>
      </c>
    </row>
    <row r="41" spans="1:8" x14ac:dyDescent="0.4">
      <c r="A41" s="55" t="s">
        <v>684</v>
      </c>
      <c r="B41" s="66">
        <v>999999</v>
      </c>
      <c r="C41" s="7">
        <v>999999</v>
      </c>
      <c r="D41" s="7">
        <v>999999</v>
      </c>
      <c r="E41" s="7">
        <v>999999</v>
      </c>
      <c r="F41" s="7">
        <v>999999</v>
      </c>
      <c r="G41" s="7">
        <v>999999</v>
      </c>
      <c r="H41" s="7">
        <v>999999</v>
      </c>
    </row>
    <row r="42" spans="1:8" x14ac:dyDescent="0.4">
      <c r="A42" s="55" t="s">
        <v>685</v>
      </c>
      <c r="B42" s="66"/>
      <c r="C42" s="7"/>
      <c r="D42" s="7"/>
      <c r="E42" s="7"/>
      <c r="F42" s="7"/>
      <c r="G42" s="7"/>
      <c r="H42" s="7"/>
    </row>
    <row r="43" spans="1:8" x14ac:dyDescent="0.4">
      <c r="A43" s="55" t="s">
        <v>686</v>
      </c>
      <c r="B43" s="66">
        <v>999999</v>
      </c>
      <c r="C43" s="7">
        <v>999999</v>
      </c>
      <c r="D43" s="7">
        <v>999999</v>
      </c>
      <c r="E43" s="7">
        <v>999999</v>
      </c>
      <c r="F43" s="7">
        <v>999999</v>
      </c>
      <c r="G43" s="7">
        <v>999999</v>
      </c>
      <c r="H43" s="7">
        <v>999999</v>
      </c>
    </row>
    <row r="44" spans="1:8" x14ac:dyDescent="0.4">
      <c r="A44" s="55" t="s">
        <v>687</v>
      </c>
      <c r="B44" s="66"/>
      <c r="C44" s="7"/>
      <c r="D44" s="7"/>
      <c r="E44" s="7"/>
      <c r="F44" s="7"/>
      <c r="G44" s="7"/>
      <c r="H44" s="7"/>
    </row>
    <row r="45" spans="1:8" x14ac:dyDescent="0.4">
      <c r="A45" s="55" t="s">
        <v>688</v>
      </c>
      <c r="B45" s="66">
        <v>999999</v>
      </c>
      <c r="C45" s="7">
        <v>999999</v>
      </c>
      <c r="D45" s="7">
        <v>999999</v>
      </c>
      <c r="E45" s="7">
        <v>999999</v>
      </c>
      <c r="F45" s="7">
        <v>999999</v>
      </c>
      <c r="G45" s="7">
        <v>999999</v>
      </c>
      <c r="H45" s="7">
        <v>999999</v>
      </c>
    </row>
    <row r="46" spans="1:8" x14ac:dyDescent="0.4">
      <c r="A46" s="55" t="s">
        <v>689</v>
      </c>
      <c r="B46" s="66"/>
      <c r="C46" s="7"/>
      <c r="D46" s="7"/>
      <c r="E46" s="7"/>
      <c r="F46" s="7"/>
      <c r="G46" s="7"/>
      <c r="H46" s="7"/>
    </row>
    <row r="47" spans="1:8" x14ac:dyDescent="0.4">
      <c r="A47" s="55" t="s">
        <v>690</v>
      </c>
      <c r="B47" s="66">
        <v>999999</v>
      </c>
      <c r="C47" s="7">
        <v>999999</v>
      </c>
      <c r="D47" s="7">
        <v>999999</v>
      </c>
      <c r="E47" s="7">
        <v>999999</v>
      </c>
      <c r="F47" s="7">
        <v>999999</v>
      </c>
      <c r="G47" s="7">
        <v>999999</v>
      </c>
      <c r="H47" s="7">
        <v>999999</v>
      </c>
    </row>
    <row r="48" spans="1:8" x14ac:dyDescent="0.4">
      <c r="A48" s="55" t="s">
        <v>691</v>
      </c>
      <c r="B48" s="66"/>
      <c r="C48" s="7"/>
      <c r="D48" s="7"/>
      <c r="E48" s="7"/>
      <c r="F48" s="7"/>
      <c r="G48" s="7"/>
      <c r="H48" s="7"/>
    </row>
    <row r="49" spans="1:8" x14ac:dyDescent="0.4">
      <c r="A49" s="55" t="s">
        <v>692</v>
      </c>
      <c r="B49" s="66">
        <v>999999</v>
      </c>
      <c r="C49" s="7">
        <v>999999</v>
      </c>
      <c r="D49" s="7">
        <v>999999</v>
      </c>
      <c r="E49" s="7">
        <v>999999</v>
      </c>
      <c r="F49" s="7">
        <v>999999</v>
      </c>
      <c r="G49" s="7">
        <v>999999</v>
      </c>
      <c r="H49" s="7">
        <v>999999</v>
      </c>
    </row>
    <row r="50" spans="1:8" x14ac:dyDescent="0.4">
      <c r="A50" s="55" t="s">
        <v>693</v>
      </c>
      <c r="B50" s="66">
        <v>999999</v>
      </c>
      <c r="C50" s="7">
        <v>999999</v>
      </c>
      <c r="D50" s="7">
        <v>999999</v>
      </c>
      <c r="E50" s="7">
        <v>999999</v>
      </c>
      <c r="F50" s="7">
        <v>999999</v>
      </c>
      <c r="G50" s="7">
        <v>999999</v>
      </c>
      <c r="H50" s="7">
        <v>999999</v>
      </c>
    </row>
    <row r="51" spans="1:8" x14ac:dyDescent="0.4">
      <c r="A51" s="55" t="s">
        <v>694</v>
      </c>
      <c r="B51" s="66">
        <v>999999</v>
      </c>
      <c r="C51" s="7">
        <v>999999</v>
      </c>
      <c r="D51" s="7">
        <v>999999</v>
      </c>
      <c r="E51" s="7">
        <v>999999</v>
      </c>
      <c r="F51" s="7">
        <v>999999</v>
      </c>
      <c r="G51" s="7">
        <v>999999</v>
      </c>
      <c r="H51" s="7">
        <v>999999</v>
      </c>
    </row>
    <row r="52" spans="1:8" x14ac:dyDescent="0.4">
      <c r="A52" s="55" t="s">
        <v>695</v>
      </c>
      <c r="B52" s="66">
        <v>999999</v>
      </c>
      <c r="C52" s="7">
        <v>999999</v>
      </c>
      <c r="D52" s="7">
        <v>999999</v>
      </c>
      <c r="E52" s="7">
        <v>999999</v>
      </c>
      <c r="F52" s="7">
        <v>999999</v>
      </c>
      <c r="G52" s="7">
        <v>999999</v>
      </c>
      <c r="H52" s="7">
        <v>999999</v>
      </c>
    </row>
    <row r="53" spans="1:8" x14ac:dyDescent="0.4">
      <c r="A53" s="55" t="s">
        <v>696</v>
      </c>
      <c r="B53" s="66">
        <v>999999</v>
      </c>
      <c r="C53" s="7">
        <v>999999</v>
      </c>
      <c r="D53" s="7">
        <v>999999</v>
      </c>
      <c r="E53" s="7">
        <v>999999</v>
      </c>
      <c r="F53" s="7">
        <v>999999</v>
      </c>
      <c r="G53" s="7">
        <v>999999</v>
      </c>
      <c r="H53" s="7">
        <v>999999</v>
      </c>
    </row>
    <row r="54" spans="1:8" x14ac:dyDescent="0.4">
      <c r="A54" s="55" t="s">
        <v>697</v>
      </c>
      <c r="B54" s="66">
        <v>999999</v>
      </c>
      <c r="C54" s="7">
        <v>999999</v>
      </c>
      <c r="D54" s="7">
        <v>999999</v>
      </c>
      <c r="E54" s="7">
        <v>999999</v>
      </c>
      <c r="F54" s="7">
        <v>999999</v>
      </c>
      <c r="G54" s="7">
        <v>999999</v>
      </c>
      <c r="H54" s="7">
        <v>999999</v>
      </c>
    </row>
    <row r="55" spans="1:8" x14ac:dyDescent="0.4">
      <c r="A55" s="55" t="s">
        <v>698</v>
      </c>
      <c r="B55" s="66">
        <v>999999</v>
      </c>
      <c r="C55" s="7">
        <v>999999</v>
      </c>
      <c r="D55" s="7">
        <v>999999</v>
      </c>
      <c r="E55" s="7">
        <v>999999</v>
      </c>
      <c r="F55" s="7">
        <v>999999</v>
      </c>
      <c r="G55" s="7">
        <v>999999</v>
      </c>
      <c r="H55" s="7">
        <v>999999</v>
      </c>
    </row>
    <row r="56" spans="1:8" x14ac:dyDescent="0.4">
      <c r="A56" s="55" t="s">
        <v>699</v>
      </c>
      <c r="B56" s="66">
        <v>999999</v>
      </c>
      <c r="C56" s="7">
        <v>999999</v>
      </c>
      <c r="D56" s="7">
        <v>999999</v>
      </c>
      <c r="E56" s="7">
        <v>999999</v>
      </c>
      <c r="F56" s="7">
        <v>999999</v>
      </c>
      <c r="G56" s="7">
        <v>999999</v>
      </c>
      <c r="H56" s="7">
        <v>999999</v>
      </c>
    </row>
    <row r="57" spans="1:8" x14ac:dyDescent="0.4">
      <c r="A57" s="55" t="s">
        <v>700</v>
      </c>
      <c r="B57" s="66">
        <v>999999</v>
      </c>
      <c r="C57" s="7">
        <v>999999</v>
      </c>
      <c r="D57" s="7">
        <v>999999</v>
      </c>
      <c r="E57" s="7">
        <v>999999</v>
      </c>
      <c r="F57" s="7">
        <v>999999</v>
      </c>
      <c r="G57" s="7">
        <v>999999</v>
      </c>
      <c r="H57" s="7">
        <v>999999</v>
      </c>
    </row>
    <row r="58" spans="1:8" x14ac:dyDescent="0.4">
      <c r="A58" s="55" t="s">
        <v>701</v>
      </c>
      <c r="B58" s="66">
        <v>999999</v>
      </c>
      <c r="C58" s="7">
        <v>999999</v>
      </c>
      <c r="D58" s="7">
        <v>999999</v>
      </c>
      <c r="E58" s="7">
        <v>999999</v>
      </c>
      <c r="F58" s="7">
        <v>999999</v>
      </c>
      <c r="G58" s="7">
        <v>999999</v>
      </c>
      <c r="H58" s="7">
        <v>999999</v>
      </c>
    </row>
    <row r="59" spans="1:8" x14ac:dyDescent="0.4">
      <c r="A59" s="55" t="s">
        <v>702</v>
      </c>
      <c r="B59" s="66">
        <v>999999</v>
      </c>
      <c r="C59" s="7">
        <v>999999</v>
      </c>
      <c r="D59" s="7">
        <v>999999</v>
      </c>
      <c r="E59" s="7">
        <v>999999</v>
      </c>
      <c r="F59" s="7">
        <v>999999</v>
      </c>
      <c r="G59" s="7">
        <v>999999</v>
      </c>
      <c r="H59" s="7">
        <v>999999</v>
      </c>
    </row>
    <row r="60" spans="1:8" x14ac:dyDescent="0.4">
      <c r="A60" s="55" t="s">
        <v>703</v>
      </c>
      <c r="B60" s="66">
        <v>999999</v>
      </c>
      <c r="C60" s="7">
        <v>999999</v>
      </c>
      <c r="D60" s="7">
        <v>999999</v>
      </c>
      <c r="E60" s="7">
        <v>999999</v>
      </c>
      <c r="F60" s="7">
        <v>999999</v>
      </c>
      <c r="G60" s="7">
        <v>999999</v>
      </c>
      <c r="H60" s="7">
        <v>999999</v>
      </c>
    </row>
    <row r="61" spans="1:8" x14ac:dyDescent="0.4">
      <c r="A61" s="55" t="s">
        <v>704</v>
      </c>
      <c r="B61" s="66">
        <v>999999</v>
      </c>
      <c r="C61" s="7">
        <v>999999</v>
      </c>
      <c r="D61" s="7">
        <v>999999</v>
      </c>
      <c r="E61" s="7">
        <v>999999</v>
      </c>
      <c r="F61" s="7">
        <v>999999</v>
      </c>
      <c r="G61" s="7">
        <v>999999</v>
      </c>
      <c r="H61" s="7">
        <v>999999</v>
      </c>
    </row>
    <row r="62" spans="1:8" x14ac:dyDescent="0.4">
      <c r="A62" s="55" t="s">
        <v>705</v>
      </c>
      <c r="B62" s="66">
        <v>999999</v>
      </c>
      <c r="C62" s="7">
        <v>999999</v>
      </c>
      <c r="D62" s="7">
        <v>999999</v>
      </c>
      <c r="E62" s="7">
        <v>999999</v>
      </c>
      <c r="F62" s="7">
        <v>999999</v>
      </c>
      <c r="G62" s="7">
        <v>999999</v>
      </c>
      <c r="H62" s="7">
        <v>999999</v>
      </c>
    </row>
    <row r="63" spans="1:8" x14ac:dyDescent="0.4">
      <c r="A63" s="55" t="s">
        <v>706</v>
      </c>
      <c r="B63" s="66">
        <v>999999</v>
      </c>
      <c r="C63" s="7">
        <v>999999</v>
      </c>
      <c r="D63" s="7">
        <v>999999</v>
      </c>
      <c r="E63" s="7">
        <v>999999</v>
      </c>
      <c r="F63" s="7">
        <v>999999</v>
      </c>
      <c r="G63" s="7">
        <v>999999</v>
      </c>
      <c r="H63" s="7">
        <v>999999</v>
      </c>
    </row>
    <row r="64" spans="1:8" x14ac:dyDescent="0.4">
      <c r="A64" s="55" t="s">
        <v>707</v>
      </c>
      <c r="B64" s="66"/>
      <c r="C64" s="7"/>
      <c r="D64" s="7"/>
      <c r="E64" s="7"/>
      <c r="F64" s="7"/>
      <c r="G64" s="7"/>
      <c r="H64" s="7"/>
    </row>
    <row r="65" spans="1:8" x14ac:dyDescent="0.4">
      <c r="A65" s="55" t="s">
        <v>708</v>
      </c>
      <c r="B65" s="66">
        <v>999999</v>
      </c>
      <c r="C65" s="7">
        <v>999999</v>
      </c>
      <c r="D65" s="7">
        <v>999999</v>
      </c>
      <c r="E65" s="7">
        <v>999999</v>
      </c>
      <c r="F65" s="7">
        <v>999999</v>
      </c>
      <c r="G65" s="7">
        <v>999999</v>
      </c>
      <c r="H65" s="7">
        <v>999999</v>
      </c>
    </row>
    <row r="66" spans="1:8" x14ac:dyDescent="0.4">
      <c r="A66" s="55" t="s">
        <v>709</v>
      </c>
      <c r="B66" s="66">
        <v>999999</v>
      </c>
      <c r="C66" s="7">
        <v>999999</v>
      </c>
      <c r="D66" s="7">
        <v>999999</v>
      </c>
      <c r="E66" s="7">
        <v>999999</v>
      </c>
      <c r="F66" s="7">
        <v>999999</v>
      </c>
      <c r="G66" s="7">
        <v>999999</v>
      </c>
      <c r="H66" s="7">
        <v>999999</v>
      </c>
    </row>
    <row r="67" spans="1:8" x14ac:dyDescent="0.4">
      <c r="A67" s="55" t="s">
        <v>710</v>
      </c>
      <c r="B67" s="66">
        <v>999999</v>
      </c>
      <c r="C67" s="7">
        <v>999999</v>
      </c>
      <c r="D67" s="7">
        <v>999999</v>
      </c>
      <c r="E67" s="7">
        <v>999999</v>
      </c>
      <c r="F67" s="7">
        <v>999999</v>
      </c>
      <c r="G67" s="7">
        <v>999999</v>
      </c>
      <c r="H67" s="7">
        <v>999999</v>
      </c>
    </row>
    <row r="68" spans="1:8" x14ac:dyDescent="0.4">
      <c r="A68" s="55" t="s">
        <v>711</v>
      </c>
      <c r="B68" s="66">
        <v>999999</v>
      </c>
      <c r="C68" s="7">
        <v>999999</v>
      </c>
      <c r="D68" s="7">
        <v>999999</v>
      </c>
      <c r="E68" s="7">
        <v>999999</v>
      </c>
      <c r="F68" s="7">
        <v>999999</v>
      </c>
      <c r="G68" s="7">
        <v>999999</v>
      </c>
      <c r="H68" s="7">
        <v>999999</v>
      </c>
    </row>
    <row r="69" spans="1:8" x14ac:dyDescent="0.4">
      <c r="A69" s="55" t="s">
        <v>712</v>
      </c>
      <c r="B69" s="66">
        <v>999999</v>
      </c>
      <c r="C69" s="7">
        <v>999999</v>
      </c>
      <c r="D69" s="7">
        <v>999999</v>
      </c>
      <c r="E69" s="7">
        <v>999999</v>
      </c>
      <c r="F69" s="7">
        <v>999999</v>
      </c>
      <c r="G69" s="7">
        <v>999999</v>
      </c>
      <c r="H69" s="7">
        <v>999999</v>
      </c>
    </row>
    <row r="70" spans="1:8" x14ac:dyDescent="0.4">
      <c r="A70" s="55" t="s">
        <v>713</v>
      </c>
      <c r="B70" s="66"/>
      <c r="C70" s="7"/>
      <c r="D70" s="7"/>
      <c r="E70" s="7"/>
      <c r="F70" s="7"/>
      <c r="G70" s="7"/>
      <c r="H70" s="7"/>
    </row>
    <row r="71" spans="1:8" x14ac:dyDescent="0.4">
      <c r="A71" s="55" t="s">
        <v>714</v>
      </c>
      <c r="B71" s="66">
        <v>999999</v>
      </c>
      <c r="C71" s="7">
        <v>999999</v>
      </c>
      <c r="D71" s="7">
        <v>999999</v>
      </c>
      <c r="E71" s="7">
        <v>999999</v>
      </c>
      <c r="F71" s="7">
        <v>999999</v>
      </c>
      <c r="G71" s="7">
        <v>999999</v>
      </c>
      <c r="H71" s="7">
        <v>999999</v>
      </c>
    </row>
    <row r="72" spans="1:8" x14ac:dyDescent="0.4">
      <c r="A72" s="55" t="s">
        <v>715</v>
      </c>
      <c r="B72" s="66">
        <v>999999</v>
      </c>
      <c r="C72" s="7">
        <v>999999</v>
      </c>
      <c r="D72" s="7">
        <v>999999</v>
      </c>
      <c r="E72" s="7">
        <v>999999</v>
      </c>
      <c r="F72" s="7">
        <v>999999</v>
      </c>
      <c r="G72" s="7">
        <v>999999</v>
      </c>
      <c r="H72" s="7">
        <v>999999</v>
      </c>
    </row>
    <row r="73" spans="1:8" x14ac:dyDescent="0.4">
      <c r="A73" s="55" t="s">
        <v>716</v>
      </c>
      <c r="B73" s="66"/>
      <c r="C73" s="7"/>
      <c r="D73" s="7"/>
      <c r="E73" s="7"/>
      <c r="F73" s="7"/>
      <c r="G73" s="7"/>
      <c r="H73" s="7"/>
    </row>
    <row r="74" spans="1:8" x14ac:dyDescent="0.4">
      <c r="A74" s="55" t="s">
        <v>717</v>
      </c>
      <c r="B74" s="66">
        <v>999999</v>
      </c>
      <c r="C74" s="7">
        <v>999999</v>
      </c>
      <c r="D74" s="7">
        <v>999999</v>
      </c>
      <c r="E74" s="7">
        <v>999999</v>
      </c>
      <c r="F74" s="7">
        <v>999999</v>
      </c>
      <c r="G74" s="7">
        <v>999999</v>
      </c>
      <c r="H74" s="7">
        <v>999999</v>
      </c>
    </row>
    <row r="75" spans="1:8" x14ac:dyDescent="0.4">
      <c r="A75" s="55" t="s">
        <v>718</v>
      </c>
      <c r="B75" s="66"/>
      <c r="C75" s="7"/>
      <c r="D75" s="7"/>
      <c r="E75" s="7"/>
      <c r="F75" s="7"/>
      <c r="G75" s="7"/>
      <c r="H75" s="7"/>
    </row>
    <row r="76" spans="1:8" x14ac:dyDescent="0.4">
      <c r="A76" s="55" t="s">
        <v>719</v>
      </c>
      <c r="B76" s="66">
        <v>999999</v>
      </c>
      <c r="C76" s="7">
        <v>999999</v>
      </c>
      <c r="D76" s="7">
        <v>999999</v>
      </c>
      <c r="E76" s="7">
        <v>999999</v>
      </c>
      <c r="F76" s="7">
        <v>999999</v>
      </c>
      <c r="G76" s="7">
        <v>999999</v>
      </c>
      <c r="H76" s="7">
        <v>999999</v>
      </c>
    </row>
    <row r="77" spans="1:8" x14ac:dyDescent="0.4">
      <c r="A77" s="55" t="s">
        <v>720</v>
      </c>
      <c r="B77" s="66">
        <v>999999</v>
      </c>
      <c r="C77" s="7">
        <v>999999</v>
      </c>
      <c r="D77" s="7">
        <v>999999</v>
      </c>
      <c r="E77" s="7">
        <v>999999</v>
      </c>
      <c r="F77" s="7">
        <v>999999</v>
      </c>
      <c r="G77" s="7">
        <v>999999</v>
      </c>
      <c r="H77" s="7">
        <v>999999</v>
      </c>
    </row>
    <row r="78" spans="1:8" x14ac:dyDescent="0.4">
      <c r="A78" s="55" t="s">
        <v>721</v>
      </c>
      <c r="B78" s="66">
        <v>999999</v>
      </c>
      <c r="C78" s="7">
        <v>999999</v>
      </c>
      <c r="D78" s="7">
        <v>999999</v>
      </c>
      <c r="E78" s="7">
        <v>999999</v>
      </c>
      <c r="F78" s="7">
        <v>999999</v>
      </c>
      <c r="G78" s="7">
        <v>999999</v>
      </c>
      <c r="H78" s="7">
        <v>999999</v>
      </c>
    </row>
    <row r="79" spans="1:8" x14ac:dyDescent="0.4">
      <c r="A79" s="55" t="s">
        <v>722</v>
      </c>
      <c r="B79" s="66"/>
      <c r="C79" s="7"/>
      <c r="D79" s="7"/>
      <c r="E79" s="7"/>
      <c r="F79" s="7"/>
      <c r="G79" s="7"/>
      <c r="H79" s="7"/>
    </row>
    <row r="80" spans="1:8" x14ac:dyDescent="0.4">
      <c r="A80" s="55" t="s">
        <v>723</v>
      </c>
      <c r="B80" s="66">
        <v>999999</v>
      </c>
      <c r="C80" s="7">
        <v>999999</v>
      </c>
      <c r="D80" s="7">
        <v>999999</v>
      </c>
      <c r="E80" s="7">
        <v>999999</v>
      </c>
      <c r="F80" s="7">
        <v>999999</v>
      </c>
      <c r="G80" s="7">
        <v>999999</v>
      </c>
      <c r="H80" s="7">
        <v>999999</v>
      </c>
    </row>
    <row r="81" spans="1:8" x14ac:dyDescent="0.4">
      <c r="A81" s="55" t="s">
        <v>724</v>
      </c>
      <c r="B81" s="66">
        <v>999999</v>
      </c>
      <c r="C81" s="7">
        <v>999999</v>
      </c>
      <c r="D81" s="7">
        <v>999999</v>
      </c>
      <c r="E81" s="7">
        <v>999999</v>
      </c>
      <c r="F81" s="7">
        <v>999999</v>
      </c>
      <c r="G81" s="7">
        <v>999999</v>
      </c>
      <c r="H81" s="7">
        <v>999999</v>
      </c>
    </row>
    <row r="82" spans="1:8" x14ac:dyDescent="0.4">
      <c r="A82" s="55" t="s">
        <v>725</v>
      </c>
      <c r="B82" s="66">
        <v>999999</v>
      </c>
      <c r="C82" s="7">
        <v>999999</v>
      </c>
      <c r="D82" s="7">
        <v>999999</v>
      </c>
      <c r="E82" s="7">
        <v>999999</v>
      </c>
      <c r="F82" s="7">
        <v>999999</v>
      </c>
      <c r="G82" s="7">
        <v>999999</v>
      </c>
      <c r="H82" s="7">
        <v>999999</v>
      </c>
    </row>
    <row r="83" spans="1:8" x14ac:dyDescent="0.4">
      <c r="A83" s="55" t="s">
        <v>726</v>
      </c>
      <c r="B83" s="66">
        <v>999999</v>
      </c>
      <c r="C83" s="7">
        <v>999999</v>
      </c>
      <c r="D83" s="7">
        <v>999999</v>
      </c>
      <c r="E83" s="7">
        <v>999999</v>
      </c>
      <c r="F83" s="7">
        <v>999999</v>
      </c>
      <c r="G83" s="7">
        <v>999999</v>
      </c>
      <c r="H83" s="7">
        <v>999999</v>
      </c>
    </row>
    <row r="84" spans="1:8" x14ac:dyDescent="0.4">
      <c r="A84" s="55" t="s">
        <v>727</v>
      </c>
      <c r="B84" s="66">
        <v>999999</v>
      </c>
      <c r="C84" s="7">
        <v>999999</v>
      </c>
      <c r="D84" s="7">
        <v>999999</v>
      </c>
      <c r="E84" s="7">
        <v>999999</v>
      </c>
      <c r="F84" s="7">
        <v>999999</v>
      </c>
      <c r="G84" s="7">
        <v>999999</v>
      </c>
      <c r="H84" s="7">
        <v>999999</v>
      </c>
    </row>
    <row r="85" spans="1:8" x14ac:dyDescent="0.4">
      <c r="A85" s="55" t="s">
        <v>728</v>
      </c>
      <c r="B85" s="66">
        <v>999999</v>
      </c>
      <c r="C85" s="7">
        <v>999999</v>
      </c>
      <c r="D85" s="7">
        <v>999999</v>
      </c>
      <c r="E85" s="7">
        <v>999999</v>
      </c>
      <c r="F85" s="7">
        <v>999999</v>
      </c>
      <c r="G85" s="7">
        <v>999999</v>
      </c>
      <c r="H85" s="7">
        <v>999999</v>
      </c>
    </row>
    <row r="86" spans="1:8" x14ac:dyDescent="0.4">
      <c r="A86" s="55" t="s">
        <v>729</v>
      </c>
      <c r="B86" s="66">
        <v>999999</v>
      </c>
      <c r="C86" s="7">
        <v>999999</v>
      </c>
      <c r="D86" s="7">
        <v>999999</v>
      </c>
      <c r="E86" s="7">
        <v>999999</v>
      </c>
      <c r="F86" s="7">
        <v>999999</v>
      </c>
      <c r="G86" s="7">
        <v>999999</v>
      </c>
      <c r="H86" s="7">
        <v>999999</v>
      </c>
    </row>
    <row r="87" spans="1:8" x14ac:dyDescent="0.4">
      <c r="A87" s="55" t="s">
        <v>730</v>
      </c>
      <c r="B87" s="66"/>
      <c r="C87" s="7"/>
      <c r="D87" s="7"/>
      <c r="E87" s="7"/>
      <c r="F87" s="7"/>
      <c r="G87" s="7"/>
      <c r="H87" s="7"/>
    </row>
    <row r="88" spans="1:8" x14ac:dyDescent="0.4">
      <c r="A88" s="55" t="s">
        <v>731</v>
      </c>
      <c r="B88" s="66">
        <v>999999</v>
      </c>
      <c r="C88" s="7">
        <v>999999</v>
      </c>
      <c r="D88" s="7">
        <v>999999</v>
      </c>
      <c r="E88" s="7">
        <v>999999</v>
      </c>
      <c r="F88" s="7">
        <v>999999</v>
      </c>
      <c r="G88" s="7">
        <v>999999</v>
      </c>
      <c r="H88" s="7">
        <v>999999</v>
      </c>
    </row>
    <row r="89" spans="1:8" x14ac:dyDescent="0.4">
      <c r="A89" s="55" t="s">
        <v>732</v>
      </c>
      <c r="B89" s="66"/>
      <c r="C89" s="7"/>
      <c r="D89" s="7"/>
      <c r="E89" s="7"/>
      <c r="F89" s="7"/>
      <c r="G89" s="7"/>
      <c r="H89" s="7"/>
    </row>
    <row r="90" spans="1:8" x14ac:dyDescent="0.4">
      <c r="A90" s="55" t="s">
        <v>733</v>
      </c>
      <c r="B90" s="66">
        <v>999999</v>
      </c>
      <c r="C90" s="7">
        <v>999999</v>
      </c>
      <c r="D90" s="7">
        <v>999999</v>
      </c>
      <c r="E90" s="7">
        <v>999999</v>
      </c>
      <c r="F90" s="7">
        <v>999999</v>
      </c>
      <c r="G90" s="7">
        <v>999999</v>
      </c>
      <c r="H90" s="7">
        <v>999999</v>
      </c>
    </row>
    <row r="91" spans="1:8" x14ac:dyDescent="0.4">
      <c r="A91" s="55" t="s">
        <v>734</v>
      </c>
      <c r="B91" s="66">
        <v>999999</v>
      </c>
      <c r="C91" s="7">
        <v>999999</v>
      </c>
      <c r="D91" s="7">
        <v>999999</v>
      </c>
      <c r="E91" s="7">
        <v>999999</v>
      </c>
      <c r="F91" s="7">
        <v>999999</v>
      </c>
      <c r="G91" s="7">
        <v>999999</v>
      </c>
      <c r="H91" s="7">
        <v>999999</v>
      </c>
    </row>
    <row r="92" spans="1:8" x14ac:dyDescent="0.4">
      <c r="A92" s="55" t="s">
        <v>735</v>
      </c>
      <c r="B92" s="66"/>
      <c r="C92" s="7"/>
      <c r="D92" s="7"/>
      <c r="E92" s="7"/>
      <c r="F92" s="7"/>
      <c r="G92" s="7"/>
      <c r="H92" s="7"/>
    </row>
    <row r="93" spans="1:8" x14ac:dyDescent="0.4">
      <c r="A93" s="55" t="s">
        <v>736</v>
      </c>
      <c r="B93" s="66">
        <v>999999</v>
      </c>
      <c r="C93" s="7">
        <v>999999</v>
      </c>
      <c r="D93" s="7">
        <v>999999</v>
      </c>
      <c r="E93" s="7">
        <v>999999</v>
      </c>
      <c r="F93" s="7">
        <v>999999</v>
      </c>
      <c r="G93" s="7">
        <v>999999</v>
      </c>
      <c r="H93" s="7">
        <v>999999</v>
      </c>
    </row>
    <row r="94" spans="1:8" x14ac:dyDescent="0.4">
      <c r="A94" s="55" t="s">
        <v>737</v>
      </c>
      <c r="B94" s="66"/>
      <c r="C94" s="7"/>
      <c r="D94" s="7"/>
      <c r="E94" s="7"/>
      <c r="F94" s="7"/>
      <c r="G94" s="7"/>
      <c r="H94" s="7"/>
    </row>
    <row r="95" spans="1:8" x14ac:dyDescent="0.4">
      <c r="A95" s="55" t="s">
        <v>738</v>
      </c>
      <c r="B95" s="66">
        <v>999999</v>
      </c>
      <c r="C95" s="7">
        <v>999999</v>
      </c>
      <c r="D95" s="7">
        <v>999999</v>
      </c>
      <c r="E95" s="7">
        <v>999999</v>
      </c>
      <c r="F95" s="7">
        <v>999999</v>
      </c>
      <c r="G95" s="7">
        <v>999999</v>
      </c>
      <c r="H95" s="7">
        <v>999999</v>
      </c>
    </row>
    <row r="96" spans="1:8" x14ac:dyDescent="0.4">
      <c r="A96" s="55" t="s">
        <v>739</v>
      </c>
      <c r="B96" s="66">
        <v>999999</v>
      </c>
      <c r="C96" s="7">
        <v>999999</v>
      </c>
      <c r="D96" s="7">
        <v>999999</v>
      </c>
      <c r="E96" s="7">
        <v>999999</v>
      </c>
      <c r="F96" s="7">
        <v>999999</v>
      </c>
      <c r="G96" s="7">
        <v>999999</v>
      </c>
      <c r="H96" s="7">
        <v>999999</v>
      </c>
    </row>
    <row r="97" spans="1:8" x14ac:dyDescent="0.4">
      <c r="A97" s="55" t="s">
        <v>740</v>
      </c>
      <c r="B97" s="66">
        <v>999999</v>
      </c>
      <c r="C97" s="7">
        <v>999999</v>
      </c>
      <c r="D97" s="7">
        <v>999999</v>
      </c>
      <c r="E97" s="7">
        <v>999999</v>
      </c>
      <c r="F97" s="7">
        <v>999999</v>
      </c>
      <c r="G97" s="7">
        <v>999999</v>
      </c>
      <c r="H97" s="7">
        <v>999999</v>
      </c>
    </row>
  </sheetData>
  <mergeCells count="1">
    <mergeCell ref="A1:C1"/>
  </mergeCells>
  <phoneticPr fontId="3"/>
  <pageMargins left="0.25" right="0.25" top="0.75" bottom="0.75" header="0.3" footer="0.3"/>
  <pageSetup paperSize="8" scale="92" fitToHeight="0" orientation="portrait"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A31A9-08C0-47FC-9D16-037150F2602C}">
  <sheetPr>
    <pageSetUpPr fitToPage="1"/>
  </sheetPr>
  <dimension ref="A1:H70"/>
  <sheetViews>
    <sheetView view="pageBreakPreview" zoomScaleNormal="100" zoomScaleSheetLayoutView="100" workbookViewId="0">
      <selection sqref="A1:C1"/>
    </sheetView>
  </sheetViews>
  <sheetFormatPr defaultRowHeight="18.75" x14ac:dyDescent="0.4"/>
  <cols>
    <col min="1" max="1" width="23.5" customWidth="1"/>
    <col min="2" max="2" width="14.75" customWidth="1"/>
    <col min="3" max="8" width="18.625" customWidth="1"/>
  </cols>
  <sheetData>
    <row r="1" spans="1:8" ht="33" x14ac:dyDescent="0.4">
      <c r="A1" s="438" t="s">
        <v>747</v>
      </c>
      <c r="B1" s="438"/>
      <c r="C1" s="438"/>
    </row>
    <row r="2" spans="1:8" x14ac:dyDescent="0.4">
      <c r="A2" s="56" t="s">
        <v>562</v>
      </c>
      <c r="B2" s="56"/>
      <c r="C2" s="56" t="s">
        <v>632</v>
      </c>
      <c r="D2" s="56"/>
      <c r="E2" s="56"/>
      <c r="F2" s="56"/>
      <c r="G2" s="56"/>
      <c r="H2" s="56"/>
    </row>
    <row r="3" spans="1:8" ht="32.25" customHeight="1" x14ac:dyDescent="0.4">
      <c r="A3" s="57" t="s">
        <v>563</v>
      </c>
      <c r="B3" s="57" t="s">
        <v>356</v>
      </c>
      <c r="C3" s="61" t="s">
        <v>634</v>
      </c>
      <c r="D3" s="60" t="s">
        <v>636</v>
      </c>
      <c r="E3" s="60" t="s">
        <v>640</v>
      </c>
      <c r="F3" s="60" t="s">
        <v>638</v>
      </c>
      <c r="G3" s="60" t="s">
        <v>642</v>
      </c>
      <c r="H3" s="60" t="s">
        <v>644</v>
      </c>
    </row>
    <row r="4" spans="1:8" x14ac:dyDescent="0.4">
      <c r="A4" s="55" t="s">
        <v>564</v>
      </c>
      <c r="B4" s="58"/>
      <c r="C4" s="6"/>
      <c r="D4" s="6"/>
      <c r="E4" s="6"/>
      <c r="F4" s="6"/>
      <c r="G4" s="6"/>
      <c r="H4" s="6"/>
    </row>
    <row r="5" spans="1:8" x14ac:dyDescent="0.4">
      <c r="A5" s="55" t="s">
        <v>565</v>
      </c>
      <c r="B5" s="59">
        <v>1111111</v>
      </c>
      <c r="C5" s="7">
        <v>99999</v>
      </c>
      <c r="D5" s="7">
        <v>8888</v>
      </c>
      <c r="E5" s="7">
        <v>777777</v>
      </c>
      <c r="F5" s="7">
        <v>55555</v>
      </c>
      <c r="G5" s="7">
        <v>4444</v>
      </c>
      <c r="H5" s="7">
        <v>33333</v>
      </c>
    </row>
    <row r="6" spans="1:8" x14ac:dyDescent="0.4">
      <c r="A6" s="55" t="s">
        <v>566</v>
      </c>
      <c r="B6" s="59">
        <v>1111111</v>
      </c>
      <c r="C6" s="7">
        <v>99999</v>
      </c>
      <c r="D6" s="7">
        <v>8888</v>
      </c>
      <c r="E6" s="7">
        <v>777777</v>
      </c>
      <c r="F6" s="7">
        <v>55555</v>
      </c>
      <c r="G6" s="7">
        <v>4444</v>
      </c>
      <c r="H6" s="7">
        <v>33333</v>
      </c>
    </row>
    <row r="7" spans="1:8" x14ac:dyDescent="0.4">
      <c r="A7" s="55" t="s">
        <v>567</v>
      </c>
      <c r="B7" s="59">
        <v>1111111</v>
      </c>
      <c r="C7" s="7">
        <v>99999</v>
      </c>
      <c r="D7" s="7">
        <v>8888</v>
      </c>
      <c r="E7" s="7">
        <v>777777</v>
      </c>
      <c r="F7" s="7">
        <v>55555</v>
      </c>
      <c r="G7" s="7">
        <v>4444</v>
      </c>
      <c r="H7" s="7">
        <v>33333</v>
      </c>
    </row>
    <row r="8" spans="1:8" x14ac:dyDescent="0.4">
      <c r="A8" s="55" t="s">
        <v>568</v>
      </c>
      <c r="B8" s="59">
        <v>1111111</v>
      </c>
      <c r="C8" s="7">
        <v>99999</v>
      </c>
      <c r="D8" s="7">
        <v>8888</v>
      </c>
      <c r="E8" s="7">
        <v>777777</v>
      </c>
      <c r="F8" s="7">
        <v>55555</v>
      </c>
      <c r="G8" s="7">
        <v>4444</v>
      </c>
      <c r="H8" s="7">
        <v>33333</v>
      </c>
    </row>
    <row r="9" spans="1:8" x14ac:dyDescent="0.4">
      <c r="A9" s="55" t="s">
        <v>569</v>
      </c>
      <c r="B9" s="59">
        <v>1111111</v>
      </c>
      <c r="C9" s="7">
        <v>99999</v>
      </c>
      <c r="D9" s="7">
        <v>8888</v>
      </c>
      <c r="E9" s="7">
        <v>777777</v>
      </c>
      <c r="F9" s="7">
        <v>55555</v>
      </c>
      <c r="G9" s="7">
        <v>4444</v>
      </c>
      <c r="H9" s="7">
        <v>33333</v>
      </c>
    </row>
    <row r="10" spans="1:8" x14ac:dyDescent="0.4">
      <c r="A10" s="55" t="s">
        <v>570</v>
      </c>
      <c r="B10" s="59">
        <v>1111111</v>
      </c>
      <c r="C10" s="7">
        <v>99999</v>
      </c>
      <c r="D10" s="7">
        <v>8888</v>
      </c>
      <c r="E10" s="7">
        <v>777777</v>
      </c>
      <c r="F10" s="7">
        <v>55555</v>
      </c>
      <c r="G10" s="7">
        <v>4444</v>
      </c>
      <c r="H10" s="7">
        <v>33333</v>
      </c>
    </row>
    <row r="11" spans="1:8" x14ac:dyDescent="0.4">
      <c r="A11" s="55" t="s">
        <v>571</v>
      </c>
      <c r="B11" s="58"/>
      <c r="C11" s="6"/>
      <c r="D11" s="6"/>
      <c r="E11" s="6"/>
      <c r="F11" s="6"/>
      <c r="G11" s="6"/>
      <c r="H11" s="6"/>
    </row>
    <row r="12" spans="1:8" x14ac:dyDescent="0.4">
      <c r="A12" s="55" t="s">
        <v>572</v>
      </c>
      <c r="B12" s="59">
        <v>1111111</v>
      </c>
      <c r="C12" s="7">
        <v>99999</v>
      </c>
      <c r="D12" s="7">
        <v>8888</v>
      </c>
      <c r="E12" s="7">
        <v>777777</v>
      </c>
      <c r="F12" s="7">
        <v>55555</v>
      </c>
      <c r="G12" s="7">
        <v>4444</v>
      </c>
      <c r="H12" s="7">
        <v>33333</v>
      </c>
    </row>
    <row r="13" spans="1:8" x14ac:dyDescent="0.4">
      <c r="A13" s="55" t="s">
        <v>573</v>
      </c>
      <c r="B13" s="59">
        <v>1111111</v>
      </c>
      <c r="C13" s="7">
        <v>99999</v>
      </c>
      <c r="D13" s="7">
        <v>8888</v>
      </c>
      <c r="E13" s="7">
        <v>777777</v>
      </c>
      <c r="F13" s="7">
        <v>55555</v>
      </c>
      <c r="G13" s="7">
        <v>4444</v>
      </c>
      <c r="H13" s="7">
        <v>33333</v>
      </c>
    </row>
    <row r="14" spans="1:8" x14ac:dyDescent="0.4">
      <c r="A14" s="55" t="s">
        <v>574</v>
      </c>
      <c r="B14" s="59">
        <v>1111111</v>
      </c>
      <c r="C14" s="7">
        <v>99999</v>
      </c>
      <c r="D14" s="7">
        <v>8888</v>
      </c>
      <c r="E14" s="7">
        <v>777777</v>
      </c>
      <c r="F14" s="7">
        <v>55555</v>
      </c>
      <c r="G14" s="7">
        <v>4444</v>
      </c>
      <c r="H14" s="7">
        <v>33333</v>
      </c>
    </row>
    <row r="15" spans="1:8" x14ac:dyDescent="0.4">
      <c r="A15" s="55" t="s">
        <v>575</v>
      </c>
      <c r="B15" s="59">
        <v>1111111</v>
      </c>
      <c r="C15" s="7">
        <v>99999</v>
      </c>
      <c r="D15" s="7">
        <v>8888</v>
      </c>
      <c r="E15" s="7">
        <v>777777</v>
      </c>
      <c r="F15" s="7">
        <v>55555</v>
      </c>
      <c r="G15" s="7">
        <v>4444</v>
      </c>
      <c r="H15" s="7">
        <v>33333</v>
      </c>
    </row>
    <row r="16" spans="1:8" x14ac:dyDescent="0.4">
      <c r="A16" s="55" t="s">
        <v>576</v>
      </c>
      <c r="B16" s="59">
        <v>1111111</v>
      </c>
      <c r="C16" s="7">
        <v>99999</v>
      </c>
      <c r="D16" s="7">
        <v>8888</v>
      </c>
      <c r="E16" s="7">
        <v>777777</v>
      </c>
      <c r="F16" s="7">
        <v>55555</v>
      </c>
      <c r="G16" s="7">
        <v>4444</v>
      </c>
      <c r="H16" s="7">
        <v>33333</v>
      </c>
    </row>
    <row r="17" spans="1:8" x14ac:dyDescent="0.4">
      <c r="A17" s="55" t="s">
        <v>577</v>
      </c>
      <c r="B17" s="59">
        <v>1111111</v>
      </c>
      <c r="C17" s="7">
        <v>99999</v>
      </c>
      <c r="D17" s="7">
        <v>8888</v>
      </c>
      <c r="E17" s="7">
        <v>777777</v>
      </c>
      <c r="F17" s="7">
        <v>55555</v>
      </c>
      <c r="G17" s="7">
        <v>4444</v>
      </c>
      <c r="H17" s="7">
        <v>33333</v>
      </c>
    </row>
    <row r="18" spans="1:8" x14ac:dyDescent="0.4">
      <c r="A18" s="55" t="s">
        <v>578</v>
      </c>
      <c r="B18" s="58"/>
      <c r="C18" s="6"/>
      <c r="D18" s="6"/>
      <c r="E18" s="6"/>
      <c r="F18" s="6"/>
      <c r="G18" s="6"/>
      <c r="H18" s="6"/>
    </row>
    <row r="19" spans="1:8" x14ac:dyDescent="0.4">
      <c r="A19" s="55" t="s">
        <v>579</v>
      </c>
      <c r="B19" s="59">
        <v>1111111</v>
      </c>
      <c r="C19" s="7">
        <v>99999</v>
      </c>
      <c r="D19" s="7">
        <v>8888</v>
      </c>
      <c r="E19" s="7">
        <v>777777</v>
      </c>
      <c r="F19" s="7">
        <v>55555</v>
      </c>
      <c r="G19" s="7">
        <v>4444</v>
      </c>
      <c r="H19" s="7">
        <v>33333</v>
      </c>
    </row>
    <row r="20" spans="1:8" x14ac:dyDescent="0.4">
      <c r="A20" s="55" t="s">
        <v>580</v>
      </c>
      <c r="B20" s="59">
        <v>1111111</v>
      </c>
      <c r="C20" s="7">
        <v>99999</v>
      </c>
      <c r="D20" s="7">
        <v>8888</v>
      </c>
      <c r="E20" s="7">
        <v>777777</v>
      </c>
      <c r="F20" s="7">
        <v>55555</v>
      </c>
      <c r="G20" s="7">
        <v>4444</v>
      </c>
      <c r="H20" s="7">
        <v>33333</v>
      </c>
    </row>
    <row r="21" spans="1:8" x14ac:dyDescent="0.4">
      <c r="A21" s="55" t="s">
        <v>581</v>
      </c>
      <c r="B21" s="59">
        <v>1111111</v>
      </c>
      <c r="C21" s="7">
        <v>99999</v>
      </c>
      <c r="D21" s="7">
        <v>8888</v>
      </c>
      <c r="E21" s="7">
        <v>777777</v>
      </c>
      <c r="F21" s="7">
        <v>55555</v>
      </c>
      <c r="G21" s="7">
        <v>4444</v>
      </c>
      <c r="H21" s="7">
        <v>33333</v>
      </c>
    </row>
    <row r="22" spans="1:8" x14ac:dyDescent="0.4">
      <c r="A22" s="55" t="s">
        <v>582</v>
      </c>
      <c r="B22" s="59">
        <v>1111111</v>
      </c>
      <c r="C22" s="7">
        <v>99999</v>
      </c>
      <c r="D22" s="7">
        <v>8888</v>
      </c>
      <c r="E22" s="7">
        <v>777777</v>
      </c>
      <c r="F22" s="7">
        <v>55555</v>
      </c>
      <c r="G22" s="7">
        <v>4444</v>
      </c>
      <c r="H22" s="7">
        <v>33333</v>
      </c>
    </row>
    <row r="23" spans="1:8" x14ac:dyDescent="0.4">
      <c r="A23" s="55" t="s">
        <v>583</v>
      </c>
      <c r="B23" s="59">
        <v>1111111</v>
      </c>
      <c r="C23" s="7">
        <v>99999</v>
      </c>
      <c r="D23" s="7">
        <v>8888</v>
      </c>
      <c r="E23" s="7">
        <v>777777</v>
      </c>
      <c r="F23" s="7">
        <v>55555</v>
      </c>
      <c r="G23" s="7">
        <v>4444</v>
      </c>
      <c r="H23" s="7">
        <v>33333</v>
      </c>
    </row>
    <row r="24" spans="1:8" x14ac:dyDescent="0.4">
      <c r="A24" s="55" t="s">
        <v>584</v>
      </c>
      <c r="B24" s="59">
        <v>1111111</v>
      </c>
      <c r="C24" s="7">
        <v>99999</v>
      </c>
      <c r="D24" s="7">
        <v>8888</v>
      </c>
      <c r="E24" s="7">
        <v>777777</v>
      </c>
      <c r="F24" s="7">
        <v>55555</v>
      </c>
      <c r="G24" s="7">
        <v>4444</v>
      </c>
      <c r="H24" s="7">
        <v>33333</v>
      </c>
    </row>
    <row r="25" spans="1:8" x14ac:dyDescent="0.4">
      <c r="A25" s="55" t="s">
        <v>585</v>
      </c>
      <c r="B25" s="59">
        <v>1111111</v>
      </c>
      <c r="C25" s="7">
        <v>99999</v>
      </c>
      <c r="D25" s="7">
        <v>8888</v>
      </c>
      <c r="E25" s="7">
        <v>777777</v>
      </c>
      <c r="F25" s="7">
        <v>55555</v>
      </c>
      <c r="G25" s="7">
        <v>4444</v>
      </c>
      <c r="H25" s="7">
        <v>33333</v>
      </c>
    </row>
    <row r="26" spans="1:8" x14ac:dyDescent="0.4">
      <c r="A26" s="55" t="s">
        <v>586</v>
      </c>
      <c r="B26" s="59">
        <v>1111111</v>
      </c>
      <c r="C26" s="7">
        <v>99999</v>
      </c>
      <c r="D26" s="7">
        <v>8888</v>
      </c>
      <c r="E26" s="7">
        <v>777777</v>
      </c>
      <c r="F26" s="7">
        <v>55555</v>
      </c>
      <c r="G26" s="7">
        <v>4444</v>
      </c>
      <c r="H26" s="7">
        <v>33333</v>
      </c>
    </row>
    <row r="27" spans="1:8" x14ac:dyDescent="0.4">
      <c r="A27" s="55" t="s">
        <v>587</v>
      </c>
      <c r="B27" s="59">
        <v>1111111</v>
      </c>
      <c r="C27" s="7">
        <v>99999</v>
      </c>
      <c r="D27" s="7">
        <v>8888</v>
      </c>
      <c r="E27" s="7">
        <v>777777</v>
      </c>
      <c r="F27" s="7">
        <v>55555</v>
      </c>
      <c r="G27" s="7">
        <v>4444</v>
      </c>
      <c r="H27" s="7">
        <v>33333</v>
      </c>
    </row>
    <row r="28" spans="1:8" x14ac:dyDescent="0.4">
      <c r="A28" s="55" t="s">
        <v>588</v>
      </c>
      <c r="B28" s="59">
        <v>1111111</v>
      </c>
      <c r="C28" s="7">
        <v>99999</v>
      </c>
      <c r="D28" s="7">
        <v>8888</v>
      </c>
      <c r="E28" s="7">
        <v>777777</v>
      </c>
      <c r="F28" s="7">
        <v>55555</v>
      </c>
      <c r="G28" s="7">
        <v>4444</v>
      </c>
      <c r="H28" s="7">
        <v>33333</v>
      </c>
    </row>
    <row r="29" spans="1:8" x14ac:dyDescent="0.4">
      <c r="A29" s="55" t="s">
        <v>589</v>
      </c>
      <c r="B29" s="59">
        <v>1111111</v>
      </c>
      <c r="C29" s="7">
        <v>99999</v>
      </c>
      <c r="D29" s="7">
        <v>8888</v>
      </c>
      <c r="E29" s="7">
        <v>777777</v>
      </c>
      <c r="F29" s="7">
        <v>55555</v>
      </c>
      <c r="G29" s="7">
        <v>4444</v>
      </c>
      <c r="H29" s="7">
        <v>33333</v>
      </c>
    </row>
    <row r="30" spans="1:8" x14ac:dyDescent="0.4">
      <c r="A30" s="55" t="s">
        <v>590</v>
      </c>
      <c r="B30" s="59">
        <v>1111111</v>
      </c>
      <c r="C30" s="7">
        <v>99999</v>
      </c>
      <c r="D30" s="7">
        <v>8888</v>
      </c>
      <c r="E30" s="7">
        <v>777777</v>
      </c>
      <c r="F30" s="7">
        <v>55555</v>
      </c>
      <c r="G30" s="7">
        <v>4444</v>
      </c>
      <c r="H30" s="7">
        <v>33333</v>
      </c>
    </row>
    <row r="31" spans="1:8" x14ac:dyDescent="0.4">
      <c r="A31" s="55" t="s">
        <v>591</v>
      </c>
      <c r="B31" s="59">
        <v>1111111</v>
      </c>
      <c r="C31" s="7">
        <v>99999</v>
      </c>
      <c r="D31" s="7">
        <v>8888</v>
      </c>
      <c r="E31" s="7">
        <v>777777</v>
      </c>
      <c r="F31" s="7">
        <v>55555</v>
      </c>
      <c r="G31" s="7">
        <v>4444</v>
      </c>
      <c r="H31" s="7">
        <v>33333</v>
      </c>
    </row>
    <row r="32" spans="1:8" x14ac:dyDescent="0.4">
      <c r="A32" s="55" t="s">
        <v>592</v>
      </c>
      <c r="B32" s="59">
        <v>1111111</v>
      </c>
      <c r="C32" s="7">
        <v>99999</v>
      </c>
      <c r="D32" s="7">
        <v>8888</v>
      </c>
      <c r="E32" s="7">
        <v>777777</v>
      </c>
      <c r="F32" s="7">
        <v>55555</v>
      </c>
      <c r="G32" s="7">
        <v>4444</v>
      </c>
      <c r="H32" s="7">
        <v>33333</v>
      </c>
    </row>
    <row r="33" spans="1:8" x14ac:dyDescent="0.4">
      <c r="A33" s="55" t="s">
        <v>593</v>
      </c>
      <c r="B33" s="59">
        <v>1111111</v>
      </c>
      <c r="C33" s="7">
        <v>99999</v>
      </c>
      <c r="D33" s="7">
        <v>8888</v>
      </c>
      <c r="E33" s="7">
        <v>777777</v>
      </c>
      <c r="F33" s="7">
        <v>55555</v>
      </c>
      <c r="G33" s="7">
        <v>4444</v>
      </c>
      <c r="H33" s="7">
        <v>33333</v>
      </c>
    </row>
    <row r="34" spans="1:8" x14ac:dyDescent="0.4">
      <c r="A34" s="55" t="s">
        <v>594</v>
      </c>
      <c r="B34" s="59">
        <v>1111111</v>
      </c>
      <c r="C34" s="7">
        <v>99999</v>
      </c>
      <c r="D34" s="7">
        <v>8888</v>
      </c>
      <c r="E34" s="7">
        <v>777777</v>
      </c>
      <c r="F34" s="7">
        <v>55555</v>
      </c>
      <c r="G34" s="7">
        <v>4444</v>
      </c>
      <c r="H34" s="7">
        <v>33333</v>
      </c>
    </row>
    <row r="35" spans="1:8" x14ac:dyDescent="0.4">
      <c r="A35" s="55" t="s">
        <v>595</v>
      </c>
      <c r="B35" s="59">
        <v>1111111</v>
      </c>
      <c r="C35" s="7">
        <v>99999</v>
      </c>
      <c r="D35" s="7">
        <v>8888</v>
      </c>
      <c r="E35" s="7">
        <v>777777</v>
      </c>
      <c r="F35" s="7">
        <v>55555</v>
      </c>
      <c r="G35" s="7">
        <v>4444</v>
      </c>
      <c r="H35" s="7">
        <v>33333</v>
      </c>
    </row>
    <row r="36" spans="1:8" x14ac:dyDescent="0.4">
      <c r="A36" s="55" t="s">
        <v>596</v>
      </c>
      <c r="B36" s="59">
        <v>1111111</v>
      </c>
      <c r="C36" s="7">
        <v>99999</v>
      </c>
      <c r="D36" s="7">
        <v>8888</v>
      </c>
      <c r="E36" s="7">
        <v>777777</v>
      </c>
      <c r="F36" s="7">
        <v>55555</v>
      </c>
      <c r="G36" s="7">
        <v>4444</v>
      </c>
      <c r="H36" s="7">
        <v>33333</v>
      </c>
    </row>
    <row r="37" spans="1:8" x14ac:dyDescent="0.4">
      <c r="A37" s="55" t="s">
        <v>597</v>
      </c>
      <c r="B37" s="59">
        <v>1111111</v>
      </c>
      <c r="C37" s="7">
        <v>99999</v>
      </c>
      <c r="D37" s="7">
        <v>8888</v>
      </c>
      <c r="E37" s="7">
        <v>777777</v>
      </c>
      <c r="F37" s="7">
        <v>55555</v>
      </c>
      <c r="G37" s="7">
        <v>4444</v>
      </c>
      <c r="H37" s="7">
        <v>33333</v>
      </c>
    </row>
    <row r="38" spans="1:8" x14ac:dyDescent="0.4">
      <c r="A38" s="55" t="s">
        <v>598</v>
      </c>
      <c r="B38" s="59">
        <v>1111111</v>
      </c>
      <c r="C38" s="7">
        <v>99999</v>
      </c>
      <c r="D38" s="7">
        <v>8888</v>
      </c>
      <c r="E38" s="7">
        <v>777777</v>
      </c>
      <c r="F38" s="7">
        <v>55555</v>
      </c>
      <c r="G38" s="7">
        <v>4444</v>
      </c>
      <c r="H38" s="7">
        <v>33333</v>
      </c>
    </row>
    <row r="39" spans="1:8" x14ac:dyDescent="0.4">
      <c r="A39" s="55" t="s">
        <v>599</v>
      </c>
      <c r="B39" s="59">
        <v>1111111</v>
      </c>
      <c r="C39" s="7">
        <v>99999</v>
      </c>
      <c r="D39" s="7">
        <v>8888</v>
      </c>
      <c r="E39" s="7">
        <v>777777</v>
      </c>
      <c r="F39" s="7">
        <v>55555</v>
      </c>
      <c r="G39" s="7">
        <v>4444</v>
      </c>
      <c r="H39" s="7">
        <v>33333</v>
      </c>
    </row>
    <row r="40" spans="1:8" x14ac:dyDescent="0.4">
      <c r="A40" s="55" t="s">
        <v>600</v>
      </c>
      <c r="B40" s="59">
        <v>1111111</v>
      </c>
      <c r="C40" s="7">
        <v>99999</v>
      </c>
      <c r="D40" s="7">
        <v>8888</v>
      </c>
      <c r="E40" s="7">
        <v>777777</v>
      </c>
      <c r="F40" s="7">
        <v>55555</v>
      </c>
      <c r="G40" s="7">
        <v>4444</v>
      </c>
      <c r="H40" s="7">
        <v>33333</v>
      </c>
    </row>
    <row r="41" spans="1:8" x14ac:dyDescent="0.4">
      <c r="A41" s="55" t="s">
        <v>601</v>
      </c>
      <c r="B41" s="59">
        <v>1111111</v>
      </c>
      <c r="C41" s="7">
        <v>99999</v>
      </c>
      <c r="D41" s="7">
        <v>8888</v>
      </c>
      <c r="E41" s="7">
        <v>777777</v>
      </c>
      <c r="F41" s="7">
        <v>55555</v>
      </c>
      <c r="G41" s="7">
        <v>4444</v>
      </c>
      <c r="H41" s="7">
        <v>33333</v>
      </c>
    </row>
    <row r="42" spans="1:8" x14ac:dyDescent="0.4">
      <c r="A42" s="55" t="s">
        <v>602</v>
      </c>
      <c r="B42" s="59">
        <v>1111111</v>
      </c>
      <c r="C42" s="7">
        <v>99999</v>
      </c>
      <c r="D42" s="7">
        <v>8888</v>
      </c>
      <c r="E42" s="7">
        <v>777777</v>
      </c>
      <c r="F42" s="7">
        <v>55555</v>
      </c>
      <c r="G42" s="7">
        <v>4444</v>
      </c>
      <c r="H42" s="7">
        <v>33333</v>
      </c>
    </row>
    <row r="43" spans="1:8" x14ac:dyDescent="0.4">
      <c r="A43" s="55" t="s">
        <v>603</v>
      </c>
      <c r="B43" s="59">
        <v>1111111</v>
      </c>
      <c r="C43" s="7">
        <v>99999</v>
      </c>
      <c r="D43" s="7">
        <v>8888</v>
      </c>
      <c r="E43" s="7">
        <v>777777</v>
      </c>
      <c r="F43" s="7">
        <v>55555</v>
      </c>
      <c r="G43" s="7">
        <v>4444</v>
      </c>
      <c r="H43" s="7">
        <v>33333</v>
      </c>
    </row>
    <row r="44" spans="1:8" x14ac:dyDescent="0.4">
      <c r="A44" s="55" t="s">
        <v>604</v>
      </c>
      <c r="B44" s="59">
        <v>1111111</v>
      </c>
      <c r="C44" s="7">
        <v>99999</v>
      </c>
      <c r="D44" s="7">
        <v>8888</v>
      </c>
      <c r="E44" s="7">
        <v>777777</v>
      </c>
      <c r="F44" s="7">
        <v>55555</v>
      </c>
      <c r="G44" s="7">
        <v>4444</v>
      </c>
      <c r="H44" s="7">
        <v>33333</v>
      </c>
    </row>
    <row r="45" spans="1:8" x14ac:dyDescent="0.4">
      <c r="A45" s="55" t="s">
        <v>605</v>
      </c>
      <c r="B45" s="59">
        <v>1111111</v>
      </c>
      <c r="C45" s="7">
        <v>99999</v>
      </c>
      <c r="D45" s="7">
        <v>8888</v>
      </c>
      <c r="E45" s="7">
        <v>777777</v>
      </c>
      <c r="F45" s="7">
        <v>55555</v>
      </c>
      <c r="G45" s="7">
        <v>4444</v>
      </c>
      <c r="H45" s="7">
        <v>33333</v>
      </c>
    </row>
    <row r="46" spans="1:8" x14ac:dyDescent="0.4">
      <c r="A46" s="55" t="s">
        <v>606</v>
      </c>
      <c r="B46" s="59">
        <v>1111111</v>
      </c>
      <c r="C46" s="7">
        <v>99999</v>
      </c>
      <c r="D46" s="7">
        <v>8888</v>
      </c>
      <c r="E46" s="7">
        <v>777777</v>
      </c>
      <c r="F46" s="7">
        <v>55555</v>
      </c>
      <c r="G46" s="7">
        <v>4444</v>
      </c>
      <c r="H46" s="7">
        <v>33333</v>
      </c>
    </row>
    <row r="47" spans="1:8" x14ac:dyDescent="0.4">
      <c r="A47" s="55" t="s">
        <v>607</v>
      </c>
      <c r="B47" s="59">
        <v>1111111</v>
      </c>
      <c r="C47" s="7">
        <v>99999</v>
      </c>
      <c r="D47" s="7">
        <v>8888</v>
      </c>
      <c r="E47" s="7">
        <v>777777</v>
      </c>
      <c r="F47" s="7">
        <v>55555</v>
      </c>
      <c r="G47" s="7">
        <v>4444</v>
      </c>
      <c r="H47" s="7">
        <v>33333</v>
      </c>
    </row>
    <row r="48" spans="1:8" x14ac:dyDescent="0.4">
      <c r="A48" s="55" t="s">
        <v>608</v>
      </c>
      <c r="B48" s="59">
        <v>1111111</v>
      </c>
      <c r="C48" s="7">
        <v>99999</v>
      </c>
      <c r="D48" s="7">
        <v>8888</v>
      </c>
      <c r="E48" s="7">
        <v>777777</v>
      </c>
      <c r="F48" s="7">
        <v>55555</v>
      </c>
      <c r="G48" s="7">
        <v>4444</v>
      </c>
      <c r="H48" s="7">
        <v>33333</v>
      </c>
    </row>
    <row r="49" spans="1:8" x14ac:dyDescent="0.4">
      <c r="A49" s="55" t="s">
        <v>609</v>
      </c>
      <c r="B49" s="59">
        <v>1111111</v>
      </c>
      <c r="C49" s="7">
        <v>99999</v>
      </c>
      <c r="D49" s="7">
        <v>8888</v>
      </c>
      <c r="E49" s="7">
        <v>777777</v>
      </c>
      <c r="F49" s="7">
        <v>55555</v>
      </c>
      <c r="G49" s="7">
        <v>4444</v>
      </c>
      <c r="H49" s="7">
        <v>33333</v>
      </c>
    </row>
    <row r="50" spans="1:8" x14ac:dyDescent="0.4">
      <c r="A50" s="55" t="s">
        <v>610</v>
      </c>
      <c r="B50" s="58">
        <v>1111111</v>
      </c>
      <c r="C50" s="6">
        <v>99999</v>
      </c>
      <c r="D50" s="6">
        <v>8888</v>
      </c>
      <c r="E50" s="6">
        <v>777777</v>
      </c>
      <c r="F50" s="6">
        <v>55555</v>
      </c>
      <c r="G50" s="6">
        <v>4444</v>
      </c>
      <c r="H50" s="6">
        <v>33333</v>
      </c>
    </row>
    <row r="51" spans="1:8" x14ac:dyDescent="0.4">
      <c r="A51" s="55" t="s">
        <v>611</v>
      </c>
      <c r="B51" s="59"/>
      <c r="C51" s="7"/>
      <c r="D51" s="7"/>
      <c r="E51" s="7"/>
      <c r="F51" s="7"/>
      <c r="G51" s="7"/>
      <c r="H51" s="7"/>
    </row>
    <row r="52" spans="1:8" x14ac:dyDescent="0.4">
      <c r="A52" s="55" t="s">
        <v>612</v>
      </c>
      <c r="B52" s="59">
        <v>1111111</v>
      </c>
      <c r="C52" s="7">
        <v>99999</v>
      </c>
      <c r="D52" s="7">
        <v>8888</v>
      </c>
      <c r="E52" s="7">
        <v>777777</v>
      </c>
      <c r="F52" s="7">
        <v>55555</v>
      </c>
      <c r="G52" s="7">
        <v>4444</v>
      </c>
      <c r="H52" s="7">
        <v>33333</v>
      </c>
    </row>
    <row r="53" spans="1:8" x14ac:dyDescent="0.4">
      <c r="A53" s="55" t="s">
        <v>613</v>
      </c>
      <c r="B53" s="59">
        <v>1111111</v>
      </c>
      <c r="C53" s="7">
        <v>99999</v>
      </c>
      <c r="D53" s="7">
        <v>8888</v>
      </c>
      <c r="E53" s="7">
        <v>777777</v>
      </c>
      <c r="F53" s="7">
        <v>55555</v>
      </c>
      <c r="G53" s="7">
        <v>4444</v>
      </c>
      <c r="H53" s="7">
        <v>33333</v>
      </c>
    </row>
    <row r="54" spans="1:8" x14ac:dyDescent="0.4">
      <c r="A54" s="55" t="s">
        <v>614</v>
      </c>
      <c r="B54" s="59">
        <v>1111111</v>
      </c>
      <c r="C54" s="7">
        <v>99999</v>
      </c>
      <c r="D54" s="7">
        <v>8888</v>
      </c>
      <c r="E54" s="7">
        <v>777777</v>
      </c>
      <c r="F54" s="7">
        <v>55555</v>
      </c>
      <c r="G54" s="7">
        <v>4444</v>
      </c>
      <c r="H54" s="7">
        <v>33333</v>
      </c>
    </row>
    <row r="55" spans="1:8" x14ac:dyDescent="0.4">
      <c r="A55" s="55" t="s">
        <v>615</v>
      </c>
      <c r="B55" s="59">
        <v>1111111</v>
      </c>
      <c r="C55" s="7">
        <v>99999</v>
      </c>
      <c r="D55" s="7">
        <v>8888</v>
      </c>
      <c r="E55" s="7">
        <v>777777</v>
      </c>
      <c r="F55" s="7">
        <v>55555</v>
      </c>
      <c r="G55" s="7">
        <v>4444</v>
      </c>
      <c r="H55" s="7">
        <v>33333</v>
      </c>
    </row>
    <row r="56" spans="1:8" x14ac:dyDescent="0.4">
      <c r="A56" s="55" t="s">
        <v>616</v>
      </c>
      <c r="B56" s="58">
        <v>1111111</v>
      </c>
      <c r="C56" s="6">
        <v>99999</v>
      </c>
      <c r="D56" s="6">
        <v>8888</v>
      </c>
      <c r="E56" s="6">
        <v>777777</v>
      </c>
      <c r="F56" s="6">
        <v>55555</v>
      </c>
      <c r="G56" s="6">
        <v>4444</v>
      </c>
      <c r="H56" s="6">
        <v>33333</v>
      </c>
    </row>
    <row r="57" spans="1:8" x14ac:dyDescent="0.4">
      <c r="A57" s="55" t="s">
        <v>617</v>
      </c>
      <c r="B57" s="59">
        <v>1111111</v>
      </c>
      <c r="C57" s="7">
        <v>99999</v>
      </c>
      <c r="D57" s="7">
        <v>8888</v>
      </c>
      <c r="E57" s="7">
        <v>777777</v>
      </c>
      <c r="F57" s="7">
        <v>55555</v>
      </c>
      <c r="G57" s="7">
        <v>4444</v>
      </c>
      <c r="H57" s="7">
        <v>33333</v>
      </c>
    </row>
    <row r="58" spans="1:8" x14ac:dyDescent="0.4">
      <c r="A58" s="55" t="s">
        <v>618</v>
      </c>
      <c r="B58" s="59"/>
      <c r="C58" s="7"/>
      <c r="D58" s="7"/>
      <c r="E58" s="7"/>
      <c r="F58" s="7"/>
      <c r="G58" s="7"/>
      <c r="H58" s="7"/>
    </row>
    <row r="59" spans="1:8" x14ac:dyDescent="0.4">
      <c r="A59" s="55" t="s">
        <v>619</v>
      </c>
      <c r="B59" s="59">
        <v>1111111</v>
      </c>
      <c r="C59" s="7">
        <v>99999</v>
      </c>
      <c r="D59" s="7">
        <v>8888</v>
      </c>
      <c r="E59" s="7">
        <v>777777</v>
      </c>
      <c r="F59" s="7">
        <v>55555</v>
      </c>
      <c r="G59" s="7">
        <v>4444</v>
      </c>
      <c r="H59" s="7">
        <v>33333</v>
      </c>
    </row>
    <row r="60" spans="1:8" x14ac:dyDescent="0.4">
      <c r="A60" s="55" t="s">
        <v>620</v>
      </c>
      <c r="B60" s="59">
        <v>1111111</v>
      </c>
      <c r="C60" s="7">
        <v>99999</v>
      </c>
      <c r="D60" s="7">
        <v>8888</v>
      </c>
      <c r="E60" s="7">
        <v>777777</v>
      </c>
      <c r="F60" s="7">
        <v>55555</v>
      </c>
      <c r="G60" s="7">
        <v>4444</v>
      </c>
      <c r="H60" s="7">
        <v>33333</v>
      </c>
    </row>
    <row r="61" spans="1:8" x14ac:dyDescent="0.4">
      <c r="A61" s="55" t="s">
        <v>621</v>
      </c>
      <c r="B61" s="59">
        <v>1111111</v>
      </c>
      <c r="C61" s="7">
        <v>99999</v>
      </c>
      <c r="D61" s="7">
        <v>8888</v>
      </c>
      <c r="E61" s="7">
        <v>777777</v>
      </c>
      <c r="F61" s="7">
        <v>55555</v>
      </c>
      <c r="G61" s="7">
        <v>4444</v>
      </c>
      <c r="H61" s="7">
        <v>33333</v>
      </c>
    </row>
    <row r="62" spans="1:8" x14ac:dyDescent="0.4">
      <c r="A62" s="55" t="s">
        <v>622</v>
      </c>
      <c r="B62" s="59">
        <v>1111111</v>
      </c>
      <c r="C62" s="7">
        <v>99999</v>
      </c>
      <c r="D62" s="7">
        <v>8888</v>
      </c>
      <c r="E62" s="7">
        <v>777777</v>
      </c>
      <c r="F62" s="7">
        <v>55555</v>
      </c>
      <c r="G62" s="7">
        <v>4444</v>
      </c>
      <c r="H62" s="7">
        <v>33333</v>
      </c>
    </row>
    <row r="63" spans="1:8" x14ac:dyDescent="0.4">
      <c r="A63" s="55" t="s">
        <v>623</v>
      </c>
      <c r="B63" s="59"/>
      <c r="C63" s="7"/>
      <c r="D63" s="7"/>
      <c r="E63" s="7"/>
      <c r="F63" s="7"/>
      <c r="G63" s="7"/>
      <c r="H63" s="7"/>
    </row>
    <row r="64" spans="1:8" x14ac:dyDescent="0.4">
      <c r="A64" s="55" t="s">
        <v>624</v>
      </c>
      <c r="B64" s="59">
        <v>1111111</v>
      </c>
      <c r="C64" s="7">
        <v>99999</v>
      </c>
      <c r="D64" s="7">
        <v>8888</v>
      </c>
      <c r="E64" s="7">
        <v>777777</v>
      </c>
      <c r="F64" s="7">
        <v>55555</v>
      </c>
      <c r="G64" s="7">
        <v>4444</v>
      </c>
      <c r="H64" s="7">
        <v>33333</v>
      </c>
    </row>
    <row r="65" spans="1:8" x14ac:dyDescent="0.4">
      <c r="A65" s="55" t="s">
        <v>625</v>
      </c>
      <c r="B65" s="59"/>
      <c r="C65" s="7"/>
      <c r="D65" s="7"/>
      <c r="E65" s="7"/>
      <c r="F65" s="7"/>
      <c r="G65" s="7"/>
      <c r="H65" s="7"/>
    </row>
    <row r="66" spans="1:8" x14ac:dyDescent="0.4">
      <c r="A66" s="55" t="s">
        <v>626</v>
      </c>
      <c r="B66" s="59">
        <v>1111111</v>
      </c>
      <c r="C66" s="7">
        <v>99999</v>
      </c>
      <c r="D66" s="7">
        <v>8888</v>
      </c>
      <c r="E66" s="7">
        <v>777777</v>
      </c>
      <c r="F66" s="7">
        <v>55555</v>
      </c>
      <c r="G66" s="7">
        <v>4444</v>
      </c>
      <c r="H66" s="7">
        <v>33333</v>
      </c>
    </row>
    <row r="67" spans="1:8" x14ac:dyDescent="0.4">
      <c r="A67" s="55" t="s">
        <v>627</v>
      </c>
      <c r="B67" s="59"/>
      <c r="C67" s="7"/>
      <c r="D67" s="7"/>
      <c r="E67" s="7"/>
      <c r="F67" s="7"/>
      <c r="G67" s="7"/>
      <c r="H67" s="7"/>
    </row>
    <row r="68" spans="1:8" x14ac:dyDescent="0.4">
      <c r="A68" s="55" t="s">
        <v>628</v>
      </c>
      <c r="B68" s="59">
        <v>1111111</v>
      </c>
      <c r="C68" s="7">
        <v>99999</v>
      </c>
      <c r="D68" s="7">
        <v>8888</v>
      </c>
      <c r="E68" s="7">
        <v>777777</v>
      </c>
      <c r="F68" s="7">
        <v>55555</v>
      </c>
      <c r="G68" s="7">
        <v>4444</v>
      </c>
      <c r="H68" s="7">
        <v>33333</v>
      </c>
    </row>
    <row r="69" spans="1:8" x14ac:dyDescent="0.4">
      <c r="A69" s="55" t="s">
        <v>629</v>
      </c>
      <c r="B69" s="59">
        <v>1111111</v>
      </c>
      <c r="C69" s="7">
        <v>99999</v>
      </c>
      <c r="D69" s="7">
        <v>8888</v>
      </c>
      <c r="E69" s="7">
        <v>777777</v>
      </c>
      <c r="F69" s="7">
        <v>55555</v>
      </c>
      <c r="G69" s="7">
        <v>4444</v>
      </c>
      <c r="H69" s="7">
        <v>33333</v>
      </c>
    </row>
    <row r="70" spans="1:8" x14ac:dyDescent="0.4">
      <c r="A70" s="55" t="s">
        <v>630</v>
      </c>
      <c r="B70" s="59">
        <v>1111111</v>
      </c>
      <c r="C70" s="7">
        <v>99999</v>
      </c>
      <c r="D70" s="7">
        <v>8888</v>
      </c>
      <c r="E70" s="7">
        <v>777777</v>
      </c>
      <c r="F70" s="7">
        <v>55555</v>
      </c>
      <c r="G70" s="7">
        <v>4444</v>
      </c>
      <c r="H70" s="7">
        <v>33333</v>
      </c>
    </row>
  </sheetData>
  <mergeCells count="1">
    <mergeCell ref="A1:C1"/>
  </mergeCells>
  <phoneticPr fontId="3"/>
  <pageMargins left="0.25" right="0.25" top="0.75" bottom="0.75" header="0.3" footer="0.3"/>
  <pageSetup paperSize="8" scale="82" orientation="portrait" r:id="rId1"/>
  <headerFooter>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0AE22-9D10-4539-B667-EA908CAE2CE9}">
  <sheetPr>
    <pageSetUpPr fitToPage="1"/>
  </sheetPr>
  <dimension ref="A1:H97"/>
  <sheetViews>
    <sheetView view="pageBreakPreview" zoomScaleNormal="100" zoomScaleSheetLayoutView="100" workbookViewId="0">
      <selection sqref="A1:C1"/>
    </sheetView>
  </sheetViews>
  <sheetFormatPr defaultRowHeight="18.75" x14ac:dyDescent="0.4"/>
  <cols>
    <col min="1" max="1" width="27.25" customWidth="1"/>
    <col min="2" max="2" width="15.375" customWidth="1"/>
    <col min="3" max="8" width="16.625" customWidth="1"/>
  </cols>
  <sheetData>
    <row r="1" spans="1:8" ht="33" x14ac:dyDescent="0.4">
      <c r="A1" s="439" t="s">
        <v>744</v>
      </c>
      <c r="B1" s="439"/>
      <c r="C1" s="439"/>
    </row>
    <row r="2" spans="1:8" x14ac:dyDescent="0.4">
      <c r="A2" s="62" t="s">
        <v>646</v>
      </c>
      <c r="B2" s="62"/>
      <c r="C2" s="62" t="s">
        <v>631</v>
      </c>
      <c r="D2" s="62"/>
      <c r="E2" s="62"/>
      <c r="F2" s="62"/>
      <c r="G2" s="62"/>
      <c r="H2" s="62"/>
    </row>
    <row r="3" spans="1:8" ht="36.75" customHeight="1" x14ac:dyDescent="0.4">
      <c r="A3" s="63" t="s">
        <v>563</v>
      </c>
      <c r="B3" s="63" t="s">
        <v>356</v>
      </c>
      <c r="C3" s="64" t="s">
        <v>633</v>
      </c>
      <c r="D3" s="65" t="s">
        <v>635</v>
      </c>
      <c r="E3" s="65" t="s">
        <v>639</v>
      </c>
      <c r="F3" s="65" t="s">
        <v>637</v>
      </c>
      <c r="G3" s="65" t="s">
        <v>641</v>
      </c>
      <c r="H3" s="65" t="s">
        <v>643</v>
      </c>
    </row>
    <row r="4" spans="1:8" x14ac:dyDescent="0.4">
      <c r="A4" s="55" t="s">
        <v>647</v>
      </c>
      <c r="B4" s="66"/>
      <c r="C4" s="7"/>
      <c r="D4" s="7"/>
      <c r="E4" s="7"/>
      <c r="F4" s="7"/>
      <c r="G4" s="7"/>
      <c r="H4" s="7"/>
    </row>
    <row r="5" spans="1:8" x14ac:dyDescent="0.4">
      <c r="A5" s="55" t="s">
        <v>648</v>
      </c>
      <c r="B5" s="66">
        <v>999999</v>
      </c>
      <c r="C5" s="7">
        <v>999999</v>
      </c>
      <c r="D5" s="7">
        <v>999999</v>
      </c>
      <c r="E5" s="7">
        <v>999999</v>
      </c>
      <c r="F5" s="7">
        <v>999999</v>
      </c>
      <c r="G5" s="7">
        <v>999999</v>
      </c>
      <c r="H5" s="7">
        <v>999999</v>
      </c>
    </row>
    <row r="6" spans="1:8" x14ac:dyDescent="0.4">
      <c r="A6" s="55" t="s">
        <v>649</v>
      </c>
      <c r="B6" s="66">
        <v>999999</v>
      </c>
      <c r="C6" s="7">
        <v>999999</v>
      </c>
      <c r="D6" s="7">
        <v>999999</v>
      </c>
      <c r="E6" s="7">
        <v>999999</v>
      </c>
      <c r="F6" s="7">
        <v>999999</v>
      </c>
      <c r="G6" s="7">
        <v>999999</v>
      </c>
      <c r="H6" s="7">
        <v>999999</v>
      </c>
    </row>
    <row r="7" spans="1:8" x14ac:dyDescent="0.4">
      <c r="A7" s="55" t="s">
        <v>650</v>
      </c>
      <c r="B7" s="66">
        <v>999999</v>
      </c>
      <c r="C7" s="7">
        <v>999999</v>
      </c>
      <c r="D7" s="7">
        <v>999999</v>
      </c>
      <c r="E7" s="7">
        <v>999999</v>
      </c>
      <c r="F7" s="7">
        <v>999999</v>
      </c>
      <c r="G7" s="7">
        <v>999999</v>
      </c>
      <c r="H7" s="7">
        <v>999999</v>
      </c>
    </row>
    <row r="8" spans="1:8" x14ac:dyDescent="0.4">
      <c r="A8" s="55" t="s">
        <v>651</v>
      </c>
      <c r="B8" s="66">
        <v>999999</v>
      </c>
      <c r="C8" s="7">
        <v>999999</v>
      </c>
      <c r="D8" s="7">
        <v>999999</v>
      </c>
      <c r="E8" s="7">
        <v>999999</v>
      </c>
      <c r="F8" s="7">
        <v>999999</v>
      </c>
      <c r="G8" s="7">
        <v>999999</v>
      </c>
      <c r="H8" s="7">
        <v>999999</v>
      </c>
    </row>
    <row r="9" spans="1:8" x14ac:dyDescent="0.4">
      <c r="A9" s="55" t="s">
        <v>652</v>
      </c>
      <c r="B9" s="66"/>
      <c r="C9" s="7"/>
      <c r="D9" s="7"/>
      <c r="E9" s="7"/>
      <c r="F9" s="7"/>
      <c r="G9" s="7"/>
      <c r="H9" s="7"/>
    </row>
    <row r="10" spans="1:8" x14ac:dyDescent="0.4">
      <c r="A10" s="55" t="s">
        <v>653</v>
      </c>
      <c r="B10" s="66">
        <v>999999</v>
      </c>
      <c r="C10" s="7">
        <v>999999</v>
      </c>
      <c r="D10" s="7">
        <v>999999</v>
      </c>
      <c r="E10" s="7">
        <v>999999</v>
      </c>
      <c r="F10" s="7">
        <v>999999</v>
      </c>
      <c r="G10" s="7">
        <v>999999</v>
      </c>
      <c r="H10" s="7">
        <v>999999</v>
      </c>
    </row>
    <row r="11" spans="1:8" x14ac:dyDescent="0.4">
      <c r="A11" s="55" t="s">
        <v>654</v>
      </c>
      <c r="B11" s="66">
        <v>999999</v>
      </c>
      <c r="C11" s="7">
        <v>999999</v>
      </c>
      <c r="D11" s="7">
        <v>999999</v>
      </c>
      <c r="E11" s="7">
        <v>999999</v>
      </c>
      <c r="F11" s="7">
        <v>999999</v>
      </c>
      <c r="G11" s="7">
        <v>999999</v>
      </c>
      <c r="H11" s="7">
        <v>999999</v>
      </c>
    </row>
    <row r="12" spans="1:8" x14ac:dyDescent="0.4">
      <c r="A12" s="55" t="s">
        <v>655</v>
      </c>
      <c r="B12" s="66"/>
      <c r="C12" s="7"/>
      <c r="D12" s="7"/>
      <c r="E12" s="7"/>
      <c r="F12" s="7"/>
      <c r="G12" s="7"/>
      <c r="H12" s="7"/>
    </row>
    <row r="13" spans="1:8" x14ac:dyDescent="0.4">
      <c r="A13" s="55" t="s">
        <v>656</v>
      </c>
      <c r="B13" s="66">
        <v>999999</v>
      </c>
      <c r="C13" s="7">
        <v>999999</v>
      </c>
      <c r="D13" s="7">
        <v>999999</v>
      </c>
      <c r="E13" s="7">
        <v>999999</v>
      </c>
      <c r="F13" s="7">
        <v>999999</v>
      </c>
      <c r="G13" s="7">
        <v>999999</v>
      </c>
      <c r="H13" s="7">
        <v>999999</v>
      </c>
    </row>
    <row r="14" spans="1:8" x14ac:dyDescent="0.4">
      <c r="A14" s="55" t="s">
        <v>657</v>
      </c>
      <c r="B14" s="66"/>
      <c r="C14" s="7"/>
      <c r="D14" s="7"/>
      <c r="E14" s="7"/>
      <c r="F14" s="7"/>
      <c r="G14" s="7"/>
      <c r="H14" s="7"/>
    </row>
    <row r="15" spans="1:8" x14ac:dyDescent="0.4">
      <c r="A15" s="55" t="s">
        <v>658</v>
      </c>
      <c r="B15" s="66">
        <v>999999</v>
      </c>
      <c r="C15" s="7">
        <v>999999</v>
      </c>
      <c r="D15" s="7">
        <v>999999</v>
      </c>
      <c r="E15" s="7">
        <v>999999</v>
      </c>
      <c r="F15" s="7">
        <v>999999</v>
      </c>
      <c r="G15" s="7">
        <v>999999</v>
      </c>
      <c r="H15" s="7">
        <v>999999</v>
      </c>
    </row>
    <row r="16" spans="1:8" x14ac:dyDescent="0.4">
      <c r="A16" s="55" t="s">
        <v>659</v>
      </c>
      <c r="B16" s="66"/>
      <c r="C16" s="7"/>
      <c r="D16" s="7"/>
      <c r="E16" s="7"/>
      <c r="F16" s="7"/>
      <c r="G16" s="7"/>
      <c r="H16" s="7"/>
    </row>
    <row r="17" spans="1:8" x14ac:dyDescent="0.4">
      <c r="A17" s="55" t="s">
        <v>660</v>
      </c>
      <c r="B17" s="66">
        <v>999999</v>
      </c>
      <c r="C17" s="7">
        <v>999999</v>
      </c>
      <c r="D17" s="7">
        <v>999999</v>
      </c>
      <c r="E17" s="7">
        <v>999999</v>
      </c>
      <c r="F17" s="7">
        <v>999999</v>
      </c>
      <c r="G17" s="7">
        <v>999999</v>
      </c>
      <c r="H17" s="7">
        <v>999999</v>
      </c>
    </row>
    <row r="18" spans="1:8" x14ac:dyDescent="0.4">
      <c r="A18" s="55" t="s">
        <v>661</v>
      </c>
      <c r="B18" s="66">
        <v>999999</v>
      </c>
      <c r="C18" s="7">
        <v>999999</v>
      </c>
      <c r="D18" s="7">
        <v>999999</v>
      </c>
      <c r="E18" s="7">
        <v>999999</v>
      </c>
      <c r="F18" s="7">
        <v>999999</v>
      </c>
      <c r="G18" s="7">
        <v>999999</v>
      </c>
      <c r="H18" s="7">
        <v>999999</v>
      </c>
    </row>
    <row r="19" spans="1:8" x14ac:dyDescent="0.4">
      <c r="A19" s="55" t="s">
        <v>662</v>
      </c>
      <c r="B19" s="66">
        <v>999999</v>
      </c>
      <c r="C19" s="7">
        <v>999999</v>
      </c>
      <c r="D19" s="7">
        <v>999999</v>
      </c>
      <c r="E19" s="7">
        <v>999999</v>
      </c>
      <c r="F19" s="7">
        <v>999999</v>
      </c>
      <c r="G19" s="7">
        <v>999999</v>
      </c>
      <c r="H19" s="7">
        <v>999999</v>
      </c>
    </row>
    <row r="20" spans="1:8" x14ac:dyDescent="0.4">
      <c r="A20" s="55" t="s">
        <v>663</v>
      </c>
      <c r="B20" s="66">
        <v>999999</v>
      </c>
      <c r="C20" s="7">
        <v>999999</v>
      </c>
      <c r="D20" s="7">
        <v>999999</v>
      </c>
      <c r="E20" s="7">
        <v>999999</v>
      </c>
      <c r="F20" s="7">
        <v>999999</v>
      </c>
      <c r="G20" s="7">
        <v>999999</v>
      </c>
      <c r="H20" s="7">
        <v>999999</v>
      </c>
    </row>
    <row r="21" spans="1:8" x14ac:dyDescent="0.4">
      <c r="A21" s="55" t="s">
        <v>664</v>
      </c>
      <c r="B21" s="66">
        <v>999999</v>
      </c>
      <c r="C21" s="7">
        <v>999999</v>
      </c>
      <c r="D21" s="7">
        <v>999999</v>
      </c>
      <c r="E21" s="7">
        <v>999999</v>
      </c>
      <c r="F21" s="7">
        <v>999999</v>
      </c>
      <c r="G21" s="7">
        <v>999999</v>
      </c>
      <c r="H21" s="7">
        <v>999999</v>
      </c>
    </row>
    <row r="22" spans="1:8" x14ac:dyDescent="0.4">
      <c r="A22" s="55" t="s">
        <v>665</v>
      </c>
      <c r="B22" s="66">
        <v>999999</v>
      </c>
      <c r="C22" s="7">
        <v>999999</v>
      </c>
      <c r="D22" s="7">
        <v>999999</v>
      </c>
      <c r="E22" s="7">
        <v>999999</v>
      </c>
      <c r="F22" s="7">
        <v>999999</v>
      </c>
      <c r="G22" s="7">
        <v>999999</v>
      </c>
      <c r="H22" s="7">
        <v>999999</v>
      </c>
    </row>
    <row r="23" spans="1:8" x14ac:dyDescent="0.4">
      <c r="A23" s="55" t="s">
        <v>666</v>
      </c>
      <c r="B23" s="66">
        <v>999999</v>
      </c>
      <c r="C23" s="7">
        <v>999999</v>
      </c>
      <c r="D23" s="7">
        <v>999999</v>
      </c>
      <c r="E23" s="7">
        <v>999999</v>
      </c>
      <c r="F23" s="7">
        <v>999999</v>
      </c>
      <c r="G23" s="7">
        <v>999999</v>
      </c>
      <c r="H23" s="7">
        <v>999999</v>
      </c>
    </row>
    <row r="24" spans="1:8" x14ac:dyDescent="0.4">
      <c r="A24" s="55" t="s">
        <v>667</v>
      </c>
      <c r="B24" s="66">
        <v>999999</v>
      </c>
      <c r="C24" s="7">
        <v>999999</v>
      </c>
      <c r="D24" s="7">
        <v>999999</v>
      </c>
      <c r="E24" s="7">
        <v>999999</v>
      </c>
      <c r="F24" s="7">
        <v>999999</v>
      </c>
      <c r="G24" s="7">
        <v>999999</v>
      </c>
      <c r="H24" s="7">
        <v>999999</v>
      </c>
    </row>
    <row r="25" spans="1:8" x14ac:dyDescent="0.4">
      <c r="A25" s="55" t="s">
        <v>668</v>
      </c>
      <c r="B25" s="66">
        <v>999999</v>
      </c>
      <c r="C25" s="7">
        <v>999999</v>
      </c>
      <c r="D25" s="7">
        <v>999999</v>
      </c>
      <c r="E25" s="7">
        <v>999999</v>
      </c>
      <c r="F25" s="7">
        <v>999999</v>
      </c>
      <c r="G25" s="7">
        <v>999999</v>
      </c>
      <c r="H25" s="7">
        <v>999999</v>
      </c>
    </row>
    <row r="26" spans="1:8" x14ac:dyDescent="0.4">
      <c r="A26" s="55" t="s">
        <v>669</v>
      </c>
      <c r="B26" s="66"/>
      <c r="C26" s="7"/>
      <c r="D26" s="7"/>
      <c r="E26" s="7"/>
      <c r="F26" s="7"/>
      <c r="G26" s="7"/>
      <c r="H26" s="7"/>
    </row>
    <row r="27" spans="1:8" x14ac:dyDescent="0.4">
      <c r="A27" s="55" t="s">
        <v>670</v>
      </c>
      <c r="B27" s="66">
        <v>999999</v>
      </c>
      <c r="C27" s="7">
        <v>999999</v>
      </c>
      <c r="D27" s="7">
        <v>999999</v>
      </c>
      <c r="E27" s="7">
        <v>999999</v>
      </c>
      <c r="F27" s="7">
        <v>999999</v>
      </c>
      <c r="G27" s="7">
        <v>999999</v>
      </c>
      <c r="H27" s="7">
        <v>999999</v>
      </c>
    </row>
    <row r="28" spans="1:8" x14ac:dyDescent="0.4">
      <c r="A28" s="55" t="s">
        <v>671</v>
      </c>
      <c r="B28" s="66">
        <v>999999</v>
      </c>
      <c r="C28" s="7">
        <v>999999</v>
      </c>
      <c r="D28" s="7">
        <v>999999</v>
      </c>
      <c r="E28" s="7">
        <v>999999</v>
      </c>
      <c r="F28" s="7">
        <v>999999</v>
      </c>
      <c r="G28" s="7">
        <v>999999</v>
      </c>
      <c r="H28" s="7">
        <v>999999</v>
      </c>
    </row>
    <row r="29" spans="1:8" x14ac:dyDescent="0.4">
      <c r="A29" s="55" t="s">
        <v>672</v>
      </c>
      <c r="B29" s="66">
        <v>999999</v>
      </c>
      <c r="C29" s="7">
        <v>999999</v>
      </c>
      <c r="D29" s="7">
        <v>999999</v>
      </c>
      <c r="E29" s="7">
        <v>999999</v>
      </c>
      <c r="F29" s="7">
        <v>999999</v>
      </c>
      <c r="G29" s="7">
        <v>999999</v>
      </c>
      <c r="H29" s="7">
        <v>999999</v>
      </c>
    </row>
    <row r="30" spans="1:8" x14ac:dyDescent="0.4">
      <c r="A30" s="55" t="s">
        <v>673</v>
      </c>
      <c r="B30" s="66">
        <v>999999</v>
      </c>
      <c r="C30" s="7">
        <v>999999</v>
      </c>
      <c r="D30" s="7">
        <v>999999</v>
      </c>
      <c r="E30" s="7">
        <v>999999</v>
      </c>
      <c r="F30" s="7">
        <v>999999</v>
      </c>
      <c r="G30" s="7">
        <v>999999</v>
      </c>
      <c r="H30" s="7">
        <v>999999</v>
      </c>
    </row>
    <row r="31" spans="1:8" x14ac:dyDescent="0.4">
      <c r="A31" s="55" t="s">
        <v>674</v>
      </c>
      <c r="B31" s="66">
        <v>999999</v>
      </c>
      <c r="C31" s="7">
        <v>999999</v>
      </c>
      <c r="D31" s="7">
        <v>999999</v>
      </c>
      <c r="E31" s="7">
        <v>999999</v>
      </c>
      <c r="F31" s="7">
        <v>999999</v>
      </c>
      <c r="G31" s="7">
        <v>999999</v>
      </c>
      <c r="H31" s="7">
        <v>999999</v>
      </c>
    </row>
    <row r="32" spans="1:8" x14ac:dyDescent="0.4">
      <c r="A32" s="55" t="s">
        <v>675</v>
      </c>
      <c r="B32" s="66">
        <v>999999</v>
      </c>
      <c r="C32" s="7">
        <v>999999</v>
      </c>
      <c r="D32" s="7">
        <v>999999</v>
      </c>
      <c r="E32" s="7">
        <v>999999</v>
      </c>
      <c r="F32" s="7">
        <v>999999</v>
      </c>
      <c r="G32" s="7">
        <v>999999</v>
      </c>
      <c r="H32" s="7">
        <v>999999</v>
      </c>
    </row>
    <row r="33" spans="1:8" x14ac:dyDescent="0.4">
      <c r="A33" s="55" t="s">
        <v>676</v>
      </c>
      <c r="B33" s="66"/>
      <c r="C33" s="7"/>
      <c r="D33" s="7"/>
      <c r="E33" s="7"/>
      <c r="F33" s="7"/>
      <c r="G33" s="7"/>
      <c r="H33" s="7"/>
    </row>
    <row r="34" spans="1:8" x14ac:dyDescent="0.4">
      <c r="A34" s="55" t="s">
        <v>677</v>
      </c>
      <c r="B34" s="66">
        <v>999999</v>
      </c>
      <c r="C34" s="7">
        <v>999999</v>
      </c>
      <c r="D34" s="7">
        <v>999999</v>
      </c>
      <c r="E34" s="7">
        <v>999999</v>
      </c>
      <c r="F34" s="7">
        <v>999999</v>
      </c>
      <c r="G34" s="7">
        <v>999999</v>
      </c>
      <c r="H34" s="7">
        <v>999999</v>
      </c>
    </row>
    <row r="35" spans="1:8" x14ac:dyDescent="0.4">
      <c r="A35" s="55" t="s">
        <v>678</v>
      </c>
      <c r="B35" s="66"/>
      <c r="C35" s="7"/>
      <c r="D35" s="7"/>
      <c r="E35" s="7"/>
      <c r="F35" s="7"/>
      <c r="G35" s="7"/>
      <c r="H35" s="7"/>
    </row>
    <row r="36" spans="1:8" x14ac:dyDescent="0.4">
      <c r="A36" s="55" t="s">
        <v>679</v>
      </c>
      <c r="B36" s="66">
        <v>999999</v>
      </c>
      <c r="C36" s="7">
        <v>999999</v>
      </c>
      <c r="D36" s="7">
        <v>999999</v>
      </c>
      <c r="E36" s="7">
        <v>999999</v>
      </c>
      <c r="F36" s="7">
        <v>999999</v>
      </c>
      <c r="G36" s="7">
        <v>999999</v>
      </c>
      <c r="H36" s="7">
        <v>999999</v>
      </c>
    </row>
    <row r="37" spans="1:8" x14ac:dyDescent="0.4">
      <c r="A37" s="55" t="s">
        <v>680</v>
      </c>
      <c r="B37" s="66">
        <v>999999</v>
      </c>
      <c r="C37" s="7">
        <v>999999</v>
      </c>
      <c r="D37" s="7">
        <v>999999</v>
      </c>
      <c r="E37" s="7">
        <v>999999</v>
      </c>
      <c r="F37" s="7">
        <v>999999</v>
      </c>
      <c r="G37" s="7">
        <v>999999</v>
      </c>
      <c r="H37" s="7">
        <v>999999</v>
      </c>
    </row>
    <row r="38" spans="1:8" x14ac:dyDescent="0.4">
      <c r="A38" s="55" t="s">
        <v>681</v>
      </c>
      <c r="B38" s="66">
        <v>999999</v>
      </c>
      <c r="C38" s="7">
        <v>999999</v>
      </c>
      <c r="D38" s="7">
        <v>999999</v>
      </c>
      <c r="E38" s="7">
        <v>999999</v>
      </c>
      <c r="F38" s="7">
        <v>999999</v>
      </c>
      <c r="G38" s="7">
        <v>999999</v>
      </c>
      <c r="H38" s="7">
        <v>999999</v>
      </c>
    </row>
    <row r="39" spans="1:8" x14ac:dyDescent="0.4">
      <c r="A39" s="55" t="s">
        <v>682</v>
      </c>
      <c r="B39" s="66">
        <v>999999</v>
      </c>
      <c r="C39" s="7">
        <v>999999</v>
      </c>
      <c r="D39" s="7">
        <v>999999</v>
      </c>
      <c r="E39" s="7">
        <v>999999</v>
      </c>
      <c r="F39" s="7">
        <v>999999</v>
      </c>
      <c r="G39" s="7">
        <v>999999</v>
      </c>
      <c r="H39" s="7">
        <v>999999</v>
      </c>
    </row>
    <row r="40" spans="1:8" x14ac:dyDescent="0.4">
      <c r="A40" s="55" t="s">
        <v>683</v>
      </c>
      <c r="B40" s="66">
        <v>999999</v>
      </c>
      <c r="C40" s="7">
        <v>999999</v>
      </c>
      <c r="D40" s="7">
        <v>999999</v>
      </c>
      <c r="E40" s="7">
        <v>999999</v>
      </c>
      <c r="F40" s="7">
        <v>999999</v>
      </c>
      <c r="G40" s="7">
        <v>999999</v>
      </c>
      <c r="H40" s="7">
        <v>999999</v>
      </c>
    </row>
    <row r="41" spans="1:8" x14ac:dyDescent="0.4">
      <c r="A41" s="55" t="s">
        <v>684</v>
      </c>
      <c r="B41" s="66">
        <v>999999</v>
      </c>
      <c r="C41" s="7">
        <v>999999</v>
      </c>
      <c r="D41" s="7">
        <v>999999</v>
      </c>
      <c r="E41" s="7">
        <v>999999</v>
      </c>
      <c r="F41" s="7">
        <v>999999</v>
      </c>
      <c r="G41" s="7">
        <v>999999</v>
      </c>
      <c r="H41" s="7">
        <v>999999</v>
      </c>
    </row>
    <row r="42" spans="1:8" x14ac:dyDescent="0.4">
      <c r="A42" s="55" t="s">
        <v>685</v>
      </c>
      <c r="B42" s="66"/>
      <c r="C42" s="7"/>
      <c r="D42" s="7"/>
      <c r="E42" s="7"/>
      <c r="F42" s="7"/>
      <c r="G42" s="7"/>
      <c r="H42" s="7"/>
    </row>
    <row r="43" spans="1:8" x14ac:dyDescent="0.4">
      <c r="A43" s="55" t="s">
        <v>686</v>
      </c>
      <c r="B43" s="66">
        <v>999999</v>
      </c>
      <c r="C43" s="7">
        <v>999999</v>
      </c>
      <c r="D43" s="7">
        <v>999999</v>
      </c>
      <c r="E43" s="7">
        <v>999999</v>
      </c>
      <c r="F43" s="7">
        <v>999999</v>
      </c>
      <c r="G43" s="7">
        <v>999999</v>
      </c>
      <c r="H43" s="7">
        <v>999999</v>
      </c>
    </row>
    <row r="44" spans="1:8" x14ac:dyDescent="0.4">
      <c r="A44" s="55" t="s">
        <v>687</v>
      </c>
      <c r="B44" s="66"/>
      <c r="C44" s="7"/>
      <c r="D44" s="7"/>
      <c r="E44" s="7"/>
      <c r="F44" s="7"/>
      <c r="G44" s="7"/>
      <c r="H44" s="7"/>
    </row>
    <row r="45" spans="1:8" x14ac:dyDescent="0.4">
      <c r="A45" s="55" t="s">
        <v>688</v>
      </c>
      <c r="B45" s="66">
        <v>999999</v>
      </c>
      <c r="C45" s="7">
        <v>999999</v>
      </c>
      <c r="D45" s="7">
        <v>999999</v>
      </c>
      <c r="E45" s="7">
        <v>999999</v>
      </c>
      <c r="F45" s="7">
        <v>999999</v>
      </c>
      <c r="G45" s="7">
        <v>999999</v>
      </c>
      <c r="H45" s="7">
        <v>999999</v>
      </c>
    </row>
    <row r="46" spans="1:8" x14ac:dyDescent="0.4">
      <c r="A46" s="55" t="s">
        <v>689</v>
      </c>
      <c r="B46" s="66"/>
      <c r="C46" s="7"/>
      <c r="D46" s="7"/>
      <c r="E46" s="7"/>
      <c r="F46" s="7"/>
      <c r="G46" s="7"/>
      <c r="H46" s="7"/>
    </row>
    <row r="47" spans="1:8" x14ac:dyDescent="0.4">
      <c r="A47" s="55" t="s">
        <v>690</v>
      </c>
      <c r="B47" s="66">
        <v>999999</v>
      </c>
      <c r="C47" s="7">
        <v>999999</v>
      </c>
      <c r="D47" s="7">
        <v>999999</v>
      </c>
      <c r="E47" s="7">
        <v>999999</v>
      </c>
      <c r="F47" s="7">
        <v>999999</v>
      </c>
      <c r="G47" s="7">
        <v>999999</v>
      </c>
      <c r="H47" s="7">
        <v>999999</v>
      </c>
    </row>
    <row r="48" spans="1:8" x14ac:dyDescent="0.4">
      <c r="A48" s="55" t="s">
        <v>691</v>
      </c>
      <c r="B48" s="66"/>
      <c r="C48" s="7"/>
      <c r="D48" s="7"/>
      <c r="E48" s="7"/>
      <c r="F48" s="7"/>
      <c r="G48" s="7"/>
      <c r="H48" s="7"/>
    </row>
    <row r="49" spans="1:8" x14ac:dyDescent="0.4">
      <c r="A49" s="55" t="s">
        <v>692</v>
      </c>
      <c r="B49" s="66">
        <v>999999</v>
      </c>
      <c r="C49" s="7">
        <v>999999</v>
      </c>
      <c r="D49" s="7">
        <v>999999</v>
      </c>
      <c r="E49" s="7">
        <v>999999</v>
      </c>
      <c r="F49" s="7">
        <v>999999</v>
      </c>
      <c r="G49" s="7">
        <v>999999</v>
      </c>
      <c r="H49" s="7">
        <v>999999</v>
      </c>
    </row>
    <row r="50" spans="1:8" x14ac:dyDescent="0.4">
      <c r="A50" s="55" t="s">
        <v>693</v>
      </c>
      <c r="B50" s="66">
        <v>999999</v>
      </c>
      <c r="C50" s="7">
        <v>999999</v>
      </c>
      <c r="D50" s="7">
        <v>999999</v>
      </c>
      <c r="E50" s="7">
        <v>999999</v>
      </c>
      <c r="F50" s="7">
        <v>999999</v>
      </c>
      <c r="G50" s="7">
        <v>999999</v>
      </c>
      <c r="H50" s="7">
        <v>999999</v>
      </c>
    </row>
    <row r="51" spans="1:8" x14ac:dyDescent="0.4">
      <c r="A51" s="55" t="s">
        <v>694</v>
      </c>
      <c r="B51" s="66">
        <v>999999</v>
      </c>
      <c r="C51" s="7">
        <v>999999</v>
      </c>
      <c r="D51" s="7">
        <v>999999</v>
      </c>
      <c r="E51" s="7">
        <v>999999</v>
      </c>
      <c r="F51" s="7">
        <v>999999</v>
      </c>
      <c r="G51" s="7">
        <v>999999</v>
      </c>
      <c r="H51" s="7">
        <v>999999</v>
      </c>
    </row>
    <row r="52" spans="1:8" x14ac:dyDescent="0.4">
      <c r="A52" s="55" t="s">
        <v>695</v>
      </c>
      <c r="B52" s="66">
        <v>999999</v>
      </c>
      <c r="C52" s="7">
        <v>999999</v>
      </c>
      <c r="D52" s="7">
        <v>999999</v>
      </c>
      <c r="E52" s="7">
        <v>999999</v>
      </c>
      <c r="F52" s="7">
        <v>999999</v>
      </c>
      <c r="G52" s="7">
        <v>999999</v>
      </c>
      <c r="H52" s="7">
        <v>999999</v>
      </c>
    </row>
    <row r="53" spans="1:8" x14ac:dyDescent="0.4">
      <c r="A53" s="55" t="s">
        <v>696</v>
      </c>
      <c r="B53" s="66">
        <v>999999</v>
      </c>
      <c r="C53" s="7">
        <v>999999</v>
      </c>
      <c r="D53" s="7">
        <v>999999</v>
      </c>
      <c r="E53" s="7">
        <v>999999</v>
      </c>
      <c r="F53" s="7">
        <v>999999</v>
      </c>
      <c r="G53" s="7">
        <v>999999</v>
      </c>
      <c r="H53" s="7">
        <v>999999</v>
      </c>
    </row>
    <row r="54" spans="1:8" x14ac:dyDescent="0.4">
      <c r="A54" s="55" t="s">
        <v>697</v>
      </c>
      <c r="B54" s="66">
        <v>999999</v>
      </c>
      <c r="C54" s="7">
        <v>999999</v>
      </c>
      <c r="D54" s="7">
        <v>999999</v>
      </c>
      <c r="E54" s="7">
        <v>999999</v>
      </c>
      <c r="F54" s="7">
        <v>999999</v>
      </c>
      <c r="G54" s="7">
        <v>999999</v>
      </c>
      <c r="H54" s="7">
        <v>999999</v>
      </c>
    </row>
    <row r="55" spans="1:8" x14ac:dyDescent="0.4">
      <c r="A55" s="55" t="s">
        <v>698</v>
      </c>
      <c r="B55" s="66">
        <v>999999</v>
      </c>
      <c r="C55" s="7">
        <v>999999</v>
      </c>
      <c r="D55" s="7">
        <v>999999</v>
      </c>
      <c r="E55" s="7">
        <v>999999</v>
      </c>
      <c r="F55" s="7">
        <v>999999</v>
      </c>
      <c r="G55" s="7">
        <v>999999</v>
      </c>
      <c r="H55" s="7">
        <v>999999</v>
      </c>
    </row>
    <row r="56" spans="1:8" x14ac:dyDescent="0.4">
      <c r="A56" s="55" t="s">
        <v>699</v>
      </c>
      <c r="B56" s="66">
        <v>999999</v>
      </c>
      <c r="C56" s="7">
        <v>999999</v>
      </c>
      <c r="D56" s="7">
        <v>999999</v>
      </c>
      <c r="E56" s="7">
        <v>999999</v>
      </c>
      <c r="F56" s="7">
        <v>999999</v>
      </c>
      <c r="G56" s="7">
        <v>999999</v>
      </c>
      <c r="H56" s="7">
        <v>999999</v>
      </c>
    </row>
    <row r="57" spans="1:8" x14ac:dyDescent="0.4">
      <c r="A57" s="55" t="s">
        <v>700</v>
      </c>
      <c r="B57" s="66">
        <v>999999</v>
      </c>
      <c r="C57" s="7">
        <v>999999</v>
      </c>
      <c r="D57" s="7">
        <v>999999</v>
      </c>
      <c r="E57" s="7">
        <v>999999</v>
      </c>
      <c r="F57" s="7">
        <v>999999</v>
      </c>
      <c r="G57" s="7">
        <v>999999</v>
      </c>
      <c r="H57" s="7">
        <v>999999</v>
      </c>
    </row>
    <row r="58" spans="1:8" x14ac:dyDescent="0.4">
      <c r="A58" s="55" t="s">
        <v>701</v>
      </c>
      <c r="B58" s="66">
        <v>999999</v>
      </c>
      <c r="C58" s="7">
        <v>999999</v>
      </c>
      <c r="D58" s="7">
        <v>999999</v>
      </c>
      <c r="E58" s="7">
        <v>999999</v>
      </c>
      <c r="F58" s="7">
        <v>999999</v>
      </c>
      <c r="G58" s="7">
        <v>999999</v>
      </c>
      <c r="H58" s="7">
        <v>999999</v>
      </c>
    </row>
    <row r="59" spans="1:8" x14ac:dyDescent="0.4">
      <c r="A59" s="55" t="s">
        <v>702</v>
      </c>
      <c r="B59" s="66">
        <v>999999</v>
      </c>
      <c r="C59" s="7">
        <v>999999</v>
      </c>
      <c r="D59" s="7">
        <v>999999</v>
      </c>
      <c r="E59" s="7">
        <v>999999</v>
      </c>
      <c r="F59" s="7">
        <v>999999</v>
      </c>
      <c r="G59" s="7">
        <v>999999</v>
      </c>
      <c r="H59" s="7">
        <v>999999</v>
      </c>
    </row>
    <row r="60" spans="1:8" x14ac:dyDescent="0.4">
      <c r="A60" s="55" t="s">
        <v>703</v>
      </c>
      <c r="B60" s="66">
        <v>999999</v>
      </c>
      <c r="C60" s="7">
        <v>999999</v>
      </c>
      <c r="D60" s="7">
        <v>999999</v>
      </c>
      <c r="E60" s="7">
        <v>999999</v>
      </c>
      <c r="F60" s="7">
        <v>999999</v>
      </c>
      <c r="G60" s="7">
        <v>999999</v>
      </c>
      <c r="H60" s="7">
        <v>999999</v>
      </c>
    </row>
    <row r="61" spans="1:8" x14ac:dyDescent="0.4">
      <c r="A61" s="55" t="s">
        <v>704</v>
      </c>
      <c r="B61" s="66">
        <v>999999</v>
      </c>
      <c r="C61" s="7">
        <v>999999</v>
      </c>
      <c r="D61" s="7">
        <v>999999</v>
      </c>
      <c r="E61" s="7">
        <v>999999</v>
      </c>
      <c r="F61" s="7">
        <v>999999</v>
      </c>
      <c r="G61" s="7">
        <v>999999</v>
      </c>
      <c r="H61" s="7">
        <v>999999</v>
      </c>
    </row>
    <row r="62" spans="1:8" x14ac:dyDescent="0.4">
      <c r="A62" s="55" t="s">
        <v>705</v>
      </c>
      <c r="B62" s="66">
        <v>999999</v>
      </c>
      <c r="C62" s="7">
        <v>999999</v>
      </c>
      <c r="D62" s="7">
        <v>999999</v>
      </c>
      <c r="E62" s="7">
        <v>999999</v>
      </c>
      <c r="F62" s="7">
        <v>999999</v>
      </c>
      <c r="G62" s="7">
        <v>999999</v>
      </c>
      <c r="H62" s="7">
        <v>999999</v>
      </c>
    </row>
    <row r="63" spans="1:8" x14ac:dyDescent="0.4">
      <c r="A63" s="55" t="s">
        <v>706</v>
      </c>
      <c r="B63" s="66">
        <v>999999</v>
      </c>
      <c r="C63" s="7">
        <v>999999</v>
      </c>
      <c r="D63" s="7">
        <v>999999</v>
      </c>
      <c r="E63" s="7">
        <v>999999</v>
      </c>
      <c r="F63" s="7">
        <v>999999</v>
      </c>
      <c r="G63" s="7">
        <v>999999</v>
      </c>
      <c r="H63" s="7">
        <v>999999</v>
      </c>
    </row>
    <row r="64" spans="1:8" x14ac:dyDescent="0.4">
      <c r="A64" s="55" t="s">
        <v>707</v>
      </c>
      <c r="B64" s="66"/>
      <c r="C64" s="7"/>
      <c r="D64" s="7"/>
      <c r="E64" s="7"/>
      <c r="F64" s="7"/>
      <c r="G64" s="7"/>
      <c r="H64" s="7"/>
    </row>
    <row r="65" spans="1:8" x14ac:dyDescent="0.4">
      <c r="A65" s="55" t="s">
        <v>708</v>
      </c>
      <c r="B65" s="66">
        <v>999999</v>
      </c>
      <c r="C65" s="7">
        <v>999999</v>
      </c>
      <c r="D65" s="7">
        <v>999999</v>
      </c>
      <c r="E65" s="7">
        <v>999999</v>
      </c>
      <c r="F65" s="7">
        <v>999999</v>
      </c>
      <c r="G65" s="7">
        <v>999999</v>
      </c>
      <c r="H65" s="7">
        <v>999999</v>
      </c>
    </row>
    <row r="66" spans="1:8" x14ac:dyDescent="0.4">
      <c r="A66" s="55" t="s">
        <v>709</v>
      </c>
      <c r="B66" s="66">
        <v>999999</v>
      </c>
      <c r="C66" s="7">
        <v>999999</v>
      </c>
      <c r="D66" s="7">
        <v>999999</v>
      </c>
      <c r="E66" s="7">
        <v>999999</v>
      </c>
      <c r="F66" s="7">
        <v>999999</v>
      </c>
      <c r="G66" s="7">
        <v>999999</v>
      </c>
      <c r="H66" s="7">
        <v>999999</v>
      </c>
    </row>
    <row r="67" spans="1:8" x14ac:dyDescent="0.4">
      <c r="A67" s="55" t="s">
        <v>710</v>
      </c>
      <c r="B67" s="66">
        <v>999999</v>
      </c>
      <c r="C67" s="7">
        <v>999999</v>
      </c>
      <c r="D67" s="7">
        <v>999999</v>
      </c>
      <c r="E67" s="7">
        <v>999999</v>
      </c>
      <c r="F67" s="7">
        <v>999999</v>
      </c>
      <c r="G67" s="7">
        <v>999999</v>
      </c>
      <c r="H67" s="7">
        <v>999999</v>
      </c>
    </row>
    <row r="68" spans="1:8" x14ac:dyDescent="0.4">
      <c r="A68" s="55" t="s">
        <v>711</v>
      </c>
      <c r="B68" s="66">
        <v>999999</v>
      </c>
      <c r="C68" s="7">
        <v>999999</v>
      </c>
      <c r="D68" s="7">
        <v>999999</v>
      </c>
      <c r="E68" s="7">
        <v>999999</v>
      </c>
      <c r="F68" s="7">
        <v>999999</v>
      </c>
      <c r="G68" s="7">
        <v>999999</v>
      </c>
      <c r="H68" s="7">
        <v>999999</v>
      </c>
    </row>
    <row r="69" spans="1:8" x14ac:dyDescent="0.4">
      <c r="A69" s="55" t="s">
        <v>712</v>
      </c>
      <c r="B69" s="66">
        <v>999999</v>
      </c>
      <c r="C69" s="7">
        <v>999999</v>
      </c>
      <c r="D69" s="7">
        <v>999999</v>
      </c>
      <c r="E69" s="7">
        <v>999999</v>
      </c>
      <c r="F69" s="7">
        <v>999999</v>
      </c>
      <c r="G69" s="7">
        <v>999999</v>
      </c>
      <c r="H69" s="7">
        <v>999999</v>
      </c>
    </row>
    <row r="70" spans="1:8" x14ac:dyDescent="0.4">
      <c r="A70" s="55" t="s">
        <v>713</v>
      </c>
      <c r="B70" s="66"/>
      <c r="C70" s="7"/>
      <c r="D70" s="7"/>
      <c r="E70" s="7"/>
      <c r="F70" s="7"/>
      <c r="G70" s="7"/>
      <c r="H70" s="7"/>
    </row>
    <row r="71" spans="1:8" x14ac:dyDescent="0.4">
      <c r="A71" s="55" t="s">
        <v>714</v>
      </c>
      <c r="B71" s="66">
        <v>999999</v>
      </c>
      <c r="C71" s="7">
        <v>999999</v>
      </c>
      <c r="D71" s="7">
        <v>999999</v>
      </c>
      <c r="E71" s="7">
        <v>999999</v>
      </c>
      <c r="F71" s="7">
        <v>999999</v>
      </c>
      <c r="G71" s="7">
        <v>999999</v>
      </c>
      <c r="H71" s="7">
        <v>999999</v>
      </c>
    </row>
    <row r="72" spans="1:8" x14ac:dyDescent="0.4">
      <c r="A72" s="55" t="s">
        <v>715</v>
      </c>
      <c r="B72" s="66">
        <v>999999</v>
      </c>
      <c r="C72" s="7">
        <v>999999</v>
      </c>
      <c r="D72" s="7">
        <v>999999</v>
      </c>
      <c r="E72" s="7">
        <v>999999</v>
      </c>
      <c r="F72" s="7">
        <v>999999</v>
      </c>
      <c r="G72" s="7">
        <v>999999</v>
      </c>
      <c r="H72" s="7">
        <v>999999</v>
      </c>
    </row>
    <row r="73" spans="1:8" x14ac:dyDescent="0.4">
      <c r="A73" s="55" t="s">
        <v>716</v>
      </c>
      <c r="B73" s="66"/>
      <c r="C73" s="7"/>
      <c r="D73" s="7"/>
      <c r="E73" s="7"/>
      <c r="F73" s="7"/>
      <c r="G73" s="7"/>
      <c r="H73" s="7"/>
    </row>
    <row r="74" spans="1:8" x14ac:dyDescent="0.4">
      <c r="A74" s="55" t="s">
        <v>717</v>
      </c>
      <c r="B74" s="66">
        <v>999999</v>
      </c>
      <c r="C74" s="7">
        <v>999999</v>
      </c>
      <c r="D74" s="7">
        <v>999999</v>
      </c>
      <c r="E74" s="7">
        <v>999999</v>
      </c>
      <c r="F74" s="7">
        <v>999999</v>
      </c>
      <c r="G74" s="7">
        <v>999999</v>
      </c>
      <c r="H74" s="7">
        <v>999999</v>
      </c>
    </row>
    <row r="75" spans="1:8" x14ac:dyDescent="0.4">
      <c r="A75" s="55" t="s">
        <v>718</v>
      </c>
      <c r="B75" s="66"/>
      <c r="C75" s="7"/>
      <c r="D75" s="7"/>
      <c r="E75" s="7"/>
      <c r="F75" s="7"/>
      <c r="G75" s="7"/>
      <c r="H75" s="7"/>
    </row>
    <row r="76" spans="1:8" x14ac:dyDescent="0.4">
      <c r="A76" s="55" t="s">
        <v>719</v>
      </c>
      <c r="B76" s="66">
        <v>999999</v>
      </c>
      <c r="C76" s="7">
        <v>999999</v>
      </c>
      <c r="D76" s="7">
        <v>999999</v>
      </c>
      <c r="E76" s="7">
        <v>999999</v>
      </c>
      <c r="F76" s="7">
        <v>999999</v>
      </c>
      <c r="G76" s="7">
        <v>999999</v>
      </c>
      <c r="H76" s="7">
        <v>999999</v>
      </c>
    </row>
    <row r="77" spans="1:8" x14ac:dyDescent="0.4">
      <c r="A77" s="55" t="s">
        <v>720</v>
      </c>
      <c r="B77" s="66">
        <v>999999</v>
      </c>
      <c r="C77" s="7">
        <v>999999</v>
      </c>
      <c r="D77" s="7">
        <v>999999</v>
      </c>
      <c r="E77" s="7">
        <v>999999</v>
      </c>
      <c r="F77" s="7">
        <v>999999</v>
      </c>
      <c r="G77" s="7">
        <v>999999</v>
      </c>
      <c r="H77" s="7">
        <v>999999</v>
      </c>
    </row>
    <row r="78" spans="1:8" x14ac:dyDescent="0.4">
      <c r="A78" s="55" t="s">
        <v>721</v>
      </c>
      <c r="B78" s="66">
        <v>999999</v>
      </c>
      <c r="C78" s="7">
        <v>999999</v>
      </c>
      <c r="D78" s="7">
        <v>999999</v>
      </c>
      <c r="E78" s="7">
        <v>999999</v>
      </c>
      <c r="F78" s="7">
        <v>999999</v>
      </c>
      <c r="G78" s="7">
        <v>999999</v>
      </c>
      <c r="H78" s="7">
        <v>999999</v>
      </c>
    </row>
    <row r="79" spans="1:8" x14ac:dyDescent="0.4">
      <c r="A79" s="55" t="s">
        <v>722</v>
      </c>
      <c r="B79" s="66"/>
      <c r="C79" s="7"/>
      <c r="D79" s="7"/>
      <c r="E79" s="7"/>
      <c r="F79" s="7"/>
      <c r="G79" s="7"/>
      <c r="H79" s="7"/>
    </row>
    <row r="80" spans="1:8" x14ac:dyDescent="0.4">
      <c r="A80" s="55" t="s">
        <v>723</v>
      </c>
      <c r="B80" s="66">
        <v>999999</v>
      </c>
      <c r="C80" s="7">
        <v>999999</v>
      </c>
      <c r="D80" s="7">
        <v>999999</v>
      </c>
      <c r="E80" s="7">
        <v>999999</v>
      </c>
      <c r="F80" s="7">
        <v>999999</v>
      </c>
      <c r="G80" s="7">
        <v>999999</v>
      </c>
      <c r="H80" s="7">
        <v>999999</v>
      </c>
    </row>
    <row r="81" spans="1:8" x14ac:dyDescent="0.4">
      <c r="A81" s="55" t="s">
        <v>724</v>
      </c>
      <c r="B81" s="66">
        <v>999999</v>
      </c>
      <c r="C81" s="7">
        <v>999999</v>
      </c>
      <c r="D81" s="7">
        <v>999999</v>
      </c>
      <c r="E81" s="7">
        <v>999999</v>
      </c>
      <c r="F81" s="7">
        <v>999999</v>
      </c>
      <c r="G81" s="7">
        <v>999999</v>
      </c>
      <c r="H81" s="7">
        <v>999999</v>
      </c>
    </row>
    <row r="82" spans="1:8" x14ac:dyDescent="0.4">
      <c r="A82" s="55" t="s">
        <v>725</v>
      </c>
      <c r="B82" s="66">
        <v>999999</v>
      </c>
      <c r="C82" s="7">
        <v>999999</v>
      </c>
      <c r="D82" s="7">
        <v>999999</v>
      </c>
      <c r="E82" s="7">
        <v>999999</v>
      </c>
      <c r="F82" s="7">
        <v>999999</v>
      </c>
      <c r="G82" s="7">
        <v>999999</v>
      </c>
      <c r="H82" s="7">
        <v>999999</v>
      </c>
    </row>
    <row r="83" spans="1:8" x14ac:dyDescent="0.4">
      <c r="A83" s="55" t="s">
        <v>726</v>
      </c>
      <c r="B83" s="66">
        <v>999999</v>
      </c>
      <c r="C83" s="7">
        <v>999999</v>
      </c>
      <c r="D83" s="7">
        <v>999999</v>
      </c>
      <c r="E83" s="7">
        <v>999999</v>
      </c>
      <c r="F83" s="7">
        <v>999999</v>
      </c>
      <c r="G83" s="7">
        <v>999999</v>
      </c>
      <c r="H83" s="7">
        <v>999999</v>
      </c>
    </row>
    <row r="84" spans="1:8" x14ac:dyDescent="0.4">
      <c r="A84" s="55" t="s">
        <v>727</v>
      </c>
      <c r="B84" s="66">
        <v>999999</v>
      </c>
      <c r="C84" s="7">
        <v>999999</v>
      </c>
      <c r="D84" s="7">
        <v>999999</v>
      </c>
      <c r="E84" s="7">
        <v>999999</v>
      </c>
      <c r="F84" s="7">
        <v>999999</v>
      </c>
      <c r="G84" s="7">
        <v>999999</v>
      </c>
      <c r="H84" s="7">
        <v>999999</v>
      </c>
    </row>
    <row r="85" spans="1:8" x14ac:dyDescent="0.4">
      <c r="A85" s="55" t="s">
        <v>728</v>
      </c>
      <c r="B85" s="66">
        <v>999999</v>
      </c>
      <c r="C85" s="7">
        <v>999999</v>
      </c>
      <c r="D85" s="7">
        <v>999999</v>
      </c>
      <c r="E85" s="7">
        <v>999999</v>
      </c>
      <c r="F85" s="7">
        <v>999999</v>
      </c>
      <c r="G85" s="7">
        <v>999999</v>
      </c>
      <c r="H85" s="7">
        <v>999999</v>
      </c>
    </row>
    <row r="86" spans="1:8" x14ac:dyDescent="0.4">
      <c r="A86" s="55" t="s">
        <v>729</v>
      </c>
      <c r="B86" s="66">
        <v>999999</v>
      </c>
      <c r="C86" s="7">
        <v>999999</v>
      </c>
      <c r="D86" s="7">
        <v>999999</v>
      </c>
      <c r="E86" s="7">
        <v>999999</v>
      </c>
      <c r="F86" s="7">
        <v>999999</v>
      </c>
      <c r="G86" s="7">
        <v>999999</v>
      </c>
      <c r="H86" s="7">
        <v>999999</v>
      </c>
    </row>
    <row r="87" spans="1:8" x14ac:dyDescent="0.4">
      <c r="A87" s="55" t="s">
        <v>730</v>
      </c>
      <c r="B87" s="66"/>
      <c r="C87" s="7"/>
      <c r="D87" s="7"/>
      <c r="E87" s="7"/>
      <c r="F87" s="7"/>
      <c r="G87" s="7"/>
      <c r="H87" s="7"/>
    </row>
    <row r="88" spans="1:8" x14ac:dyDescent="0.4">
      <c r="A88" s="55" t="s">
        <v>731</v>
      </c>
      <c r="B88" s="66">
        <v>999999</v>
      </c>
      <c r="C88" s="7">
        <v>999999</v>
      </c>
      <c r="D88" s="7">
        <v>999999</v>
      </c>
      <c r="E88" s="7">
        <v>999999</v>
      </c>
      <c r="F88" s="7">
        <v>999999</v>
      </c>
      <c r="G88" s="7">
        <v>999999</v>
      </c>
      <c r="H88" s="7">
        <v>999999</v>
      </c>
    </row>
    <row r="89" spans="1:8" x14ac:dyDescent="0.4">
      <c r="A89" s="55" t="s">
        <v>732</v>
      </c>
      <c r="B89" s="66"/>
      <c r="C89" s="7"/>
      <c r="D89" s="7"/>
      <c r="E89" s="7"/>
      <c r="F89" s="7"/>
      <c r="G89" s="7"/>
      <c r="H89" s="7"/>
    </row>
    <row r="90" spans="1:8" x14ac:dyDescent="0.4">
      <c r="A90" s="55" t="s">
        <v>733</v>
      </c>
      <c r="B90" s="66">
        <v>999999</v>
      </c>
      <c r="C90" s="7">
        <v>999999</v>
      </c>
      <c r="D90" s="7">
        <v>999999</v>
      </c>
      <c r="E90" s="7">
        <v>999999</v>
      </c>
      <c r="F90" s="7">
        <v>999999</v>
      </c>
      <c r="G90" s="7">
        <v>999999</v>
      </c>
      <c r="H90" s="7">
        <v>999999</v>
      </c>
    </row>
    <row r="91" spans="1:8" x14ac:dyDescent="0.4">
      <c r="A91" s="55" t="s">
        <v>734</v>
      </c>
      <c r="B91" s="66">
        <v>999999</v>
      </c>
      <c r="C91" s="7">
        <v>999999</v>
      </c>
      <c r="D91" s="7">
        <v>999999</v>
      </c>
      <c r="E91" s="7">
        <v>999999</v>
      </c>
      <c r="F91" s="7">
        <v>999999</v>
      </c>
      <c r="G91" s="7">
        <v>999999</v>
      </c>
      <c r="H91" s="7">
        <v>999999</v>
      </c>
    </row>
    <row r="92" spans="1:8" x14ac:dyDescent="0.4">
      <c r="A92" s="55" t="s">
        <v>735</v>
      </c>
      <c r="B92" s="66"/>
      <c r="C92" s="7"/>
      <c r="D92" s="7"/>
      <c r="E92" s="7"/>
      <c r="F92" s="7"/>
      <c r="G92" s="7"/>
      <c r="H92" s="7"/>
    </row>
    <row r="93" spans="1:8" x14ac:dyDescent="0.4">
      <c r="A93" s="55" t="s">
        <v>736</v>
      </c>
      <c r="B93" s="66">
        <v>999999</v>
      </c>
      <c r="C93" s="7">
        <v>999999</v>
      </c>
      <c r="D93" s="7">
        <v>999999</v>
      </c>
      <c r="E93" s="7">
        <v>999999</v>
      </c>
      <c r="F93" s="7">
        <v>999999</v>
      </c>
      <c r="G93" s="7">
        <v>999999</v>
      </c>
      <c r="H93" s="7">
        <v>999999</v>
      </c>
    </row>
    <row r="94" spans="1:8" x14ac:dyDescent="0.4">
      <c r="A94" s="55" t="s">
        <v>737</v>
      </c>
      <c r="B94" s="66"/>
      <c r="C94" s="7"/>
      <c r="D94" s="7"/>
      <c r="E94" s="7"/>
      <c r="F94" s="7"/>
      <c r="G94" s="7"/>
      <c r="H94" s="7"/>
    </row>
    <row r="95" spans="1:8" x14ac:dyDescent="0.4">
      <c r="A95" s="55" t="s">
        <v>738</v>
      </c>
      <c r="B95" s="66">
        <v>999999</v>
      </c>
      <c r="C95" s="7">
        <v>999999</v>
      </c>
      <c r="D95" s="7">
        <v>999999</v>
      </c>
      <c r="E95" s="7">
        <v>999999</v>
      </c>
      <c r="F95" s="7">
        <v>999999</v>
      </c>
      <c r="G95" s="7">
        <v>999999</v>
      </c>
      <c r="H95" s="7">
        <v>999999</v>
      </c>
    </row>
    <row r="96" spans="1:8" x14ac:dyDescent="0.4">
      <c r="A96" s="55" t="s">
        <v>739</v>
      </c>
      <c r="B96" s="66">
        <v>999999</v>
      </c>
      <c r="C96" s="7">
        <v>999999</v>
      </c>
      <c r="D96" s="7">
        <v>999999</v>
      </c>
      <c r="E96" s="7">
        <v>999999</v>
      </c>
      <c r="F96" s="7">
        <v>999999</v>
      </c>
      <c r="G96" s="7">
        <v>999999</v>
      </c>
      <c r="H96" s="7">
        <v>999999</v>
      </c>
    </row>
    <row r="97" spans="1:8" x14ac:dyDescent="0.4">
      <c r="A97" s="55" t="s">
        <v>740</v>
      </c>
      <c r="B97" s="66">
        <v>999999</v>
      </c>
      <c r="C97" s="7">
        <v>999999</v>
      </c>
      <c r="D97" s="7">
        <v>999999</v>
      </c>
      <c r="E97" s="7">
        <v>999999</v>
      </c>
      <c r="F97" s="7">
        <v>999999</v>
      </c>
      <c r="G97" s="7">
        <v>999999</v>
      </c>
      <c r="H97" s="7">
        <v>999999</v>
      </c>
    </row>
  </sheetData>
  <mergeCells count="1">
    <mergeCell ref="A1:C1"/>
  </mergeCells>
  <phoneticPr fontId="3"/>
  <pageMargins left="0.25" right="0.25" top="0.75" bottom="0.75" header="0.3" footer="0.3"/>
  <pageSetup paperSize="8" scale="92" fitToHeight="0" orientation="portrait" r:id="rId1"/>
  <headerFooter>
    <oddFooter>&amp;P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B4FB5-B534-483E-8594-272E6E5EA9E1}">
  <sheetPr>
    <pageSetUpPr fitToPage="1"/>
  </sheetPr>
  <dimension ref="A1:H70"/>
  <sheetViews>
    <sheetView view="pageBreakPreview" zoomScaleNormal="100" zoomScaleSheetLayoutView="100" workbookViewId="0">
      <selection sqref="A1:C1"/>
    </sheetView>
  </sheetViews>
  <sheetFormatPr defaultRowHeight="18.75" x14ac:dyDescent="0.4"/>
  <cols>
    <col min="1" max="1" width="23.5" customWidth="1"/>
    <col min="2" max="2" width="14.75" customWidth="1"/>
    <col min="3" max="8" width="18.625" customWidth="1"/>
  </cols>
  <sheetData>
    <row r="1" spans="1:8" ht="33" x14ac:dyDescent="0.4">
      <c r="A1" s="438" t="s">
        <v>645</v>
      </c>
      <c r="B1" s="438"/>
      <c r="C1" s="438"/>
    </row>
    <row r="2" spans="1:8" x14ac:dyDescent="0.4">
      <c r="A2" s="56" t="s">
        <v>562</v>
      </c>
      <c r="B2" s="56"/>
      <c r="C2" s="56" t="s">
        <v>632</v>
      </c>
      <c r="D2" s="56"/>
      <c r="E2" s="56"/>
      <c r="F2" s="56"/>
      <c r="G2" s="56"/>
      <c r="H2" s="56"/>
    </row>
    <row r="3" spans="1:8" ht="32.25" customHeight="1" x14ac:dyDescent="0.4">
      <c r="A3" s="57" t="s">
        <v>563</v>
      </c>
      <c r="B3" s="57" t="s">
        <v>356</v>
      </c>
      <c r="C3" s="61" t="s">
        <v>634</v>
      </c>
      <c r="D3" s="60" t="s">
        <v>636</v>
      </c>
      <c r="E3" s="60" t="s">
        <v>640</v>
      </c>
      <c r="F3" s="60" t="s">
        <v>638</v>
      </c>
      <c r="G3" s="60" t="s">
        <v>642</v>
      </c>
      <c r="H3" s="60" t="s">
        <v>644</v>
      </c>
    </row>
    <row r="4" spans="1:8" x14ac:dyDescent="0.4">
      <c r="A4" s="55" t="s">
        <v>564</v>
      </c>
      <c r="B4" s="58"/>
      <c r="C4" s="6"/>
      <c r="D4" s="6"/>
      <c r="E4" s="6"/>
      <c r="F4" s="6"/>
      <c r="G4" s="6"/>
      <c r="H4" s="6"/>
    </row>
    <row r="5" spans="1:8" x14ac:dyDescent="0.4">
      <c r="A5" s="55" t="s">
        <v>565</v>
      </c>
      <c r="B5" s="59">
        <v>1111111</v>
      </c>
      <c r="C5" s="7">
        <v>99999</v>
      </c>
      <c r="D5" s="7">
        <v>8888</v>
      </c>
      <c r="E5" s="7">
        <v>777777</v>
      </c>
      <c r="F5" s="7">
        <v>55555</v>
      </c>
      <c r="G5" s="7">
        <v>4444</v>
      </c>
      <c r="H5" s="7">
        <v>33333</v>
      </c>
    </row>
    <row r="6" spans="1:8" x14ac:dyDescent="0.4">
      <c r="A6" s="55" t="s">
        <v>566</v>
      </c>
      <c r="B6" s="59">
        <v>1111111</v>
      </c>
      <c r="C6" s="7">
        <v>99999</v>
      </c>
      <c r="D6" s="7">
        <v>8888</v>
      </c>
      <c r="E6" s="7">
        <v>777777</v>
      </c>
      <c r="F6" s="7">
        <v>55555</v>
      </c>
      <c r="G6" s="7">
        <v>4444</v>
      </c>
      <c r="H6" s="7">
        <v>33333</v>
      </c>
    </row>
    <row r="7" spans="1:8" x14ac:dyDescent="0.4">
      <c r="A7" s="55" t="s">
        <v>567</v>
      </c>
      <c r="B7" s="59">
        <v>1111111</v>
      </c>
      <c r="C7" s="7">
        <v>99999</v>
      </c>
      <c r="D7" s="7">
        <v>8888</v>
      </c>
      <c r="E7" s="7">
        <v>777777</v>
      </c>
      <c r="F7" s="7">
        <v>55555</v>
      </c>
      <c r="G7" s="7">
        <v>4444</v>
      </c>
      <c r="H7" s="7">
        <v>33333</v>
      </c>
    </row>
    <row r="8" spans="1:8" x14ac:dyDescent="0.4">
      <c r="A8" s="55" t="s">
        <v>568</v>
      </c>
      <c r="B8" s="59">
        <v>1111111</v>
      </c>
      <c r="C8" s="7">
        <v>99999</v>
      </c>
      <c r="D8" s="7">
        <v>8888</v>
      </c>
      <c r="E8" s="7">
        <v>777777</v>
      </c>
      <c r="F8" s="7">
        <v>55555</v>
      </c>
      <c r="G8" s="7">
        <v>4444</v>
      </c>
      <c r="H8" s="7">
        <v>33333</v>
      </c>
    </row>
    <row r="9" spans="1:8" x14ac:dyDescent="0.4">
      <c r="A9" s="55" t="s">
        <v>569</v>
      </c>
      <c r="B9" s="59">
        <v>1111111</v>
      </c>
      <c r="C9" s="7">
        <v>99999</v>
      </c>
      <c r="D9" s="7">
        <v>8888</v>
      </c>
      <c r="E9" s="7">
        <v>777777</v>
      </c>
      <c r="F9" s="7">
        <v>55555</v>
      </c>
      <c r="G9" s="7">
        <v>4444</v>
      </c>
      <c r="H9" s="7">
        <v>33333</v>
      </c>
    </row>
    <row r="10" spans="1:8" x14ac:dyDescent="0.4">
      <c r="A10" s="55" t="s">
        <v>570</v>
      </c>
      <c r="B10" s="59">
        <v>1111111</v>
      </c>
      <c r="C10" s="7">
        <v>99999</v>
      </c>
      <c r="D10" s="7">
        <v>8888</v>
      </c>
      <c r="E10" s="7">
        <v>777777</v>
      </c>
      <c r="F10" s="7">
        <v>55555</v>
      </c>
      <c r="G10" s="7">
        <v>4444</v>
      </c>
      <c r="H10" s="7">
        <v>33333</v>
      </c>
    </row>
    <row r="11" spans="1:8" x14ac:dyDescent="0.4">
      <c r="A11" s="55" t="s">
        <v>571</v>
      </c>
      <c r="B11" s="58"/>
      <c r="C11" s="6"/>
      <c r="D11" s="6"/>
      <c r="E11" s="6"/>
      <c r="F11" s="6"/>
      <c r="G11" s="6"/>
      <c r="H11" s="6"/>
    </row>
    <row r="12" spans="1:8" x14ac:dyDescent="0.4">
      <c r="A12" s="55" t="s">
        <v>572</v>
      </c>
      <c r="B12" s="59">
        <v>1111111</v>
      </c>
      <c r="C12" s="7">
        <v>99999</v>
      </c>
      <c r="D12" s="7">
        <v>8888</v>
      </c>
      <c r="E12" s="7">
        <v>777777</v>
      </c>
      <c r="F12" s="7">
        <v>55555</v>
      </c>
      <c r="G12" s="7">
        <v>4444</v>
      </c>
      <c r="H12" s="7">
        <v>33333</v>
      </c>
    </row>
    <row r="13" spans="1:8" x14ac:dyDescent="0.4">
      <c r="A13" s="55" t="s">
        <v>573</v>
      </c>
      <c r="B13" s="59">
        <v>1111111</v>
      </c>
      <c r="C13" s="7">
        <v>99999</v>
      </c>
      <c r="D13" s="7">
        <v>8888</v>
      </c>
      <c r="E13" s="7">
        <v>777777</v>
      </c>
      <c r="F13" s="7">
        <v>55555</v>
      </c>
      <c r="G13" s="7">
        <v>4444</v>
      </c>
      <c r="H13" s="7">
        <v>33333</v>
      </c>
    </row>
    <row r="14" spans="1:8" x14ac:dyDescent="0.4">
      <c r="A14" s="55" t="s">
        <v>574</v>
      </c>
      <c r="B14" s="59">
        <v>1111111</v>
      </c>
      <c r="C14" s="7">
        <v>99999</v>
      </c>
      <c r="D14" s="7">
        <v>8888</v>
      </c>
      <c r="E14" s="7">
        <v>777777</v>
      </c>
      <c r="F14" s="7">
        <v>55555</v>
      </c>
      <c r="G14" s="7">
        <v>4444</v>
      </c>
      <c r="H14" s="7">
        <v>33333</v>
      </c>
    </row>
    <row r="15" spans="1:8" x14ac:dyDescent="0.4">
      <c r="A15" s="55" t="s">
        <v>575</v>
      </c>
      <c r="B15" s="59">
        <v>1111111</v>
      </c>
      <c r="C15" s="7">
        <v>99999</v>
      </c>
      <c r="D15" s="7">
        <v>8888</v>
      </c>
      <c r="E15" s="7">
        <v>777777</v>
      </c>
      <c r="F15" s="7">
        <v>55555</v>
      </c>
      <c r="G15" s="7">
        <v>4444</v>
      </c>
      <c r="H15" s="7">
        <v>33333</v>
      </c>
    </row>
    <row r="16" spans="1:8" x14ac:dyDescent="0.4">
      <c r="A16" s="55" t="s">
        <v>576</v>
      </c>
      <c r="B16" s="59">
        <v>1111111</v>
      </c>
      <c r="C16" s="7">
        <v>99999</v>
      </c>
      <c r="D16" s="7">
        <v>8888</v>
      </c>
      <c r="E16" s="7">
        <v>777777</v>
      </c>
      <c r="F16" s="7">
        <v>55555</v>
      </c>
      <c r="G16" s="7">
        <v>4444</v>
      </c>
      <c r="H16" s="7">
        <v>33333</v>
      </c>
    </row>
    <row r="17" spans="1:8" x14ac:dyDescent="0.4">
      <c r="A17" s="55" t="s">
        <v>577</v>
      </c>
      <c r="B17" s="59">
        <v>1111111</v>
      </c>
      <c r="C17" s="7">
        <v>99999</v>
      </c>
      <c r="D17" s="7">
        <v>8888</v>
      </c>
      <c r="E17" s="7">
        <v>777777</v>
      </c>
      <c r="F17" s="7">
        <v>55555</v>
      </c>
      <c r="G17" s="7">
        <v>4444</v>
      </c>
      <c r="H17" s="7">
        <v>33333</v>
      </c>
    </row>
    <row r="18" spans="1:8" x14ac:dyDescent="0.4">
      <c r="A18" s="55" t="s">
        <v>578</v>
      </c>
      <c r="B18" s="58"/>
      <c r="C18" s="6"/>
      <c r="D18" s="6"/>
      <c r="E18" s="6"/>
      <c r="F18" s="6"/>
      <c r="G18" s="6"/>
      <c r="H18" s="6"/>
    </row>
    <row r="19" spans="1:8" x14ac:dyDescent="0.4">
      <c r="A19" s="55" t="s">
        <v>579</v>
      </c>
      <c r="B19" s="59">
        <v>1111111</v>
      </c>
      <c r="C19" s="7">
        <v>99999</v>
      </c>
      <c r="D19" s="7">
        <v>8888</v>
      </c>
      <c r="E19" s="7">
        <v>777777</v>
      </c>
      <c r="F19" s="7">
        <v>55555</v>
      </c>
      <c r="G19" s="7">
        <v>4444</v>
      </c>
      <c r="H19" s="7">
        <v>33333</v>
      </c>
    </row>
    <row r="20" spans="1:8" x14ac:dyDescent="0.4">
      <c r="A20" s="55" t="s">
        <v>580</v>
      </c>
      <c r="B20" s="59">
        <v>1111111</v>
      </c>
      <c r="C20" s="7">
        <v>99999</v>
      </c>
      <c r="D20" s="7">
        <v>8888</v>
      </c>
      <c r="E20" s="7">
        <v>777777</v>
      </c>
      <c r="F20" s="7">
        <v>55555</v>
      </c>
      <c r="G20" s="7">
        <v>4444</v>
      </c>
      <c r="H20" s="7">
        <v>33333</v>
      </c>
    </row>
    <row r="21" spans="1:8" x14ac:dyDescent="0.4">
      <c r="A21" s="55" t="s">
        <v>581</v>
      </c>
      <c r="B21" s="59">
        <v>1111111</v>
      </c>
      <c r="C21" s="7">
        <v>99999</v>
      </c>
      <c r="D21" s="7">
        <v>8888</v>
      </c>
      <c r="E21" s="7">
        <v>777777</v>
      </c>
      <c r="F21" s="7">
        <v>55555</v>
      </c>
      <c r="G21" s="7">
        <v>4444</v>
      </c>
      <c r="H21" s="7">
        <v>33333</v>
      </c>
    </row>
    <row r="22" spans="1:8" x14ac:dyDescent="0.4">
      <c r="A22" s="55" t="s">
        <v>582</v>
      </c>
      <c r="B22" s="59">
        <v>1111111</v>
      </c>
      <c r="C22" s="7">
        <v>99999</v>
      </c>
      <c r="D22" s="7">
        <v>8888</v>
      </c>
      <c r="E22" s="7">
        <v>777777</v>
      </c>
      <c r="F22" s="7">
        <v>55555</v>
      </c>
      <c r="G22" s="7">
        <v>4444</v>
      </c>
      <c r="H22" s="7">
        <v>33333</v>
      </c>
    </row>
    <row r="23" spans="1:8" x14ac:dyDescent="0.4">
      <c r="A23" s="55" t="s">
        <v>583</v>
      </c>
      <c r="B23" s="59">
        <v>1111111</v>
      </c>
      <c r="C23" s="7">
        <v>99999</v>
      </c>
      <c r="D23" s="7">
        <v>8888</v>
      </c>
      <c r="E23" s="7">
        <v>777777</v>
      </c>
      <c r="F23" s="7">
        <v>55555</v>
      </c>
      <c r="G23" s="7">
        <v>4444</v>
      </c>
      <c r="H23" s="7">
        <v>33333</v>
      </c>
    </row>
    <row r="24" spans="1:8" x14ac:dyDescent="0.4">
      <c r="A24" s="55" t="s">
        <v>584</v>
      </c>
      <c r="B24" s="59">
        <v>1111111</v>
      </c>
      <c r="C24" s="7">
        <v>99999</v>
      </c>
      <c r="D24" s="7">
        <v>8888</v>
      </c>
      <c r="E24" s="7">
        <v>777777</v>
      </c>
      <c r="F24" s="7">
        <v>55555</v>
      </c>
      <c r="G24" s="7">
        <v>4444</v>
      </c>
      <c r="H24" s="7">
        <v>33333</v>
      </c>
    </row>
    <row r="25" spans="1:8" x14ac:dyDescent="0.4">
      <c r="A25" s="55" t="s">
        <v>585</v>
      </c>
      <c r="B25" s="59">
        <v>1111111</v>
      </c>
      <c r="C25" s="7">
        <v>99999</v>
      </c>
      <c r="D25" s="7">
        <v>8888</v>
      </c>
      <c r="E25" s="7">
        <v>777777</v>
      </c>
      <c r="F25" s="7">
        <v>55555</v>
      </c>
      <c r="G25" s="7">
        <v>4444</v>
      </c>
      <c r="H25" s="7">
        <v>33333</v>
      </c>
    </row>
    <row r="26" spans="1:8" x14ac:dyDescent="0.4">
      <c r="A26" s="55" t="s">
        <v>586</v>
      </c>
      <c r="B26" s="59">
        <v>1111111</v>
      </c>
      <c r="C26" s="7">
        <v>99999</v>
      </c>
      <c r="D26" s="7">
        <v>8888</v>
      </c>
      <c r="E26" s="7">
        <v>777777</v>
      </c>
      <c r="F26" s="7">
        <v>55555</v>
      </c>
      <c r="G26" s="7">
        <v>4444</v>
      </c>
      <c r="H26" s="7">
        <v>33333</v>
      </c>
    </row>
    <row r="27" spans="1:8" x14ac:dyDescent="0.4">
      <c r="A27" s="55" t="s">
        <v>587</v>
      </c>
      <c r="B27" s="59">
        <v>1111111</v>
      </c>
      <c r="C27" s="7">
        <v>99999</v>
      </c>
      <c r="D27" s="7">
        <v>8888</v>
      </c>
      <c r="E27" s="7">
        <v>777777</v>
      </c>
      <c r="F27" s="7">
        <v>55555</v>
      </c>
      <c r="G27" s="7">
        <v>4444</v>
      </c>
      <c r="H27" s="7">
        <v>33333</v>
      </c>
    </row>
    <row r="28" spans="1:8" x14ac:dyDescent="0.4">
      <c r="A28" s="55" t="s">
        <v>588</v>
      </c>
      <c r="B28" s="59">
        <v>1111111</v>
      </c>
      <c r="C28" s="7">
        <v>99999</v>
      </c>
      <c r="D28" s="7">
        <v>8888</v>
      </c>
      <c r="E28" s="7">
        <v>777777</v>
      </c>
      <c r="F28" s="7">
        <v>55555</v>
      </c>
      <c r="G28" s="7">
        <v>4444</v>
      </c>
      <c r="H28" s="7">
        <v>33333</v>
      </c>
    </row>
    <row r="29" spans="1:8" x14ac:dyDescent="0.4">
      <c r="A29" s="55" t="s">
        <v>589</v>
      </c>
      <c r="B29" s="59">
        <v>1111111</v>
      </c>
      <c r="C29" s="7">
        <v>99999</v>
      </c>
      <c r="D29" s="7">
        <v>8888</v>
      </c>
      <c r="E29" s="7">
        <v>777777</v>
      </c>
      <c r="F29" s="7">
        <v>55555</v>
      </c>
      <c r="G29" s="7">
        <v>4444</v>
      </c>
      <c r="H29" s="7">
        <v>33333</v>
      </c>
    </row>
    <row r="30" spans="1:8" x14ac:dyDescent="0.4">
      <c r="A30" s="55" t="s">
        <v>590</v>
      </c>
      <c r="B30" s="59">
        <v>1111111</v>
      </c>
      <c r="C30" s="7">
        <v>99999</v>
      </c>
      <c r="D30" s="7">
        <v>8888</v>
      </c>
      <c r="E30" s="7">
        <v>777777</v>
      </c>
      <c r="F30" s="7">
        <v>55555</v>
      </c>
      <c r="G30" s="7">
        <v>4444</v>
      </c>
      <c r="H30" s="7">
        <v>33333</v>
      </c>
    </row>
    <row r="31" spans="1:8" x14ac:dyDescent="0.4">
      <c r="A31" s="55" t="s">
        <v>591</v>
      </c>
      <c r="B31" s="59">
        <v>1111111</v>
      </c>
      <c r="C31" s="7">
        <v>99999</v>
      </c>
      <c r="D31" s="7">
        <v>8888</v>
      </c>
      <c r="E31" s="7">
        <v>777777</v>
      </c>
      <c r="F31" s="7">
        <v>55555</v>
      </c>
      <c r="G31" s="7">
        <v>4444</v>
      </c>
      <c r="H31" s="7">
        <v>33333</v>
      </c>
    </row>
    <row r="32" spans="1:8" x14ac:dyDescent="0.4">
      <c r="A32" s="55" t="s">
        <v>592</v>
      </c>
      <c r="B32" s="59">
        <v>1111111</v>
      </c>
      <c r="C32" s="7">
        <v>99999</v>
      </c>
      <c r="D32" s="7">
        <v>8888</v>
      </c>
      <c r="E32" s="7">
        <v>777777</v>
      </c>
      <c r="F32" s="7">
        <v>55555</v>
      </c>
      <c r="G32" s="7">
        <v>4444</v>
      </c>
      <c r="H32" s="7">
        <v>33333</v>
      </c>
    </row>
    <row r="33" spans="1:8" x14ac:dyDescent="0.4">
      <c r="A33" s="55" t="s">
        <v>593</v>
      </c>
      <c r="B33" s="59">
        <v>1111111</v>
      </c>
      <c r="C33" s="7">
        <v>99999</v>
      </c>
      <c r="D33" s="7">
        <v>8888</v>
      </c>
      <c r="E33" s="7">
        <v>777777</v>
      </c>
      <c r="F33" s="7">
        <v>55555</v>
      </c>
      <c r="G33" s="7">
        <v>4444</v>
      </c>
      <c r="H33" s="7">
        <v>33333</v>
      </c>
    </row>
    <row r="34" spans="1:8" x14ac:dyDescent="0.4">
      <c r="A34" s="55" t="s">
        <v>594</v>
      </c>
      <c r="B34" s="59">
        <v>1111111</v>
      </c>
      <c r="C34" s="7">
        <v>99999</v>
      </c>
      <c r="D34" s="7">
        <v>8888</v>
      </c>
      <c r="E34" s="7">
        <v>777777</v>
      </c>
      <c r="F34" s="7">
        <v>55555</v>
      </c>
      <c r="G34" s="7">
        <v>4444</v>
      </c>
      <c r="H34" s="7">
        <v>33333</v>
      </c>
    </row>
    <row r="35" spans="1:8" x14ac:dyDescent="0.4">
      <c r="A35" s="55" t="s">
        <v>595</v>
      </c>
      <c r="B35" s="59">
        <v>1111111</v>
      </c>
      <c r="C35" s="7">
        <v>99999</v>
      </c>
      <c r="D35" s="7">
        <v>8888</v>
      </c>
      <c r="E35" s="7">
        <v>777777</v>
      </c>
      <c r="F35" s="7">
        <v>55555</v>
      </c>
      <c r="G35" s="7">
        <v>4444</v>
      </c>
      <c r="H35" s="7">
        <v>33333</v>
      </c>
    </row>
    <row r="36" spans="1:8" x14ac:dyDescent="0.4">
      <c r="A36" s="55" t="s">
        <v>596</v>
      </c>
      <c r="B36" s="59">
        <v>1111111</v>
      </c>
      <c r="C36" s="7">
        <v>99999</v>
      </c>
      <c r="D36" s="7">
        <v>8888</v>
      </c>
      <c r="E36" s="7">
        <v>777777</v>
      </c>
      <c r="F36" s="7">
        <v>55555</v>
      </c>
      <c r="G36" s="7">
        <v>4444</v>
      </c>
      <c r="H36" s="7">
        <v>33333</v>
      </c>
    </row>
    <row r="37" spans="1:8" x14ac:dyDescent="0.4">
      <c r="A37" s="55" t="s">
        <v>597</v>
      </c>
      <c r="B37" s="59">
        <v>1111111</v>
      </c>
      <c r="C37" s="7">
        <v>99999</v>
      </c>
      <c r="D37" s="7">
        <v>8888</v>
      </c>
      <c r="E37" s="7">
        <v>777777</v>
      </c>
      <c r="F37" s="7">
        <v>55555</v>
      </c>
      <c r="G37" s="7">
        <v>4444</v>
      </c>
      <c r="H37" s="7">
        <v>33333</v>
      </c>
    </row>
    <row r="38" spans="1:8" x14ac:dyDescent="0.4">
      <c r="A38" s="55" t="s">
        <v>598</v>
      </c>
      <c r="B38" s="59">
        <v>1111111</v>
      </c>
      <c r="C38" s="7">
        <v>99999</v>
      </c>
      <c r="D38" s="7">
        <v>8888</v>
      </c>
      <c r="E38" s="7">
        <v>777777</v>
      </c>
      <c r="F38" s="7">
        <v>55555</v>
      </c>
      <c r="G38" s="7">
        <v>4444</v>
      </c>
      <c r="H38" s="7">
        <v>33333</v>
      </c>
    </row>
    <row r="39" spans="1:8" x14ac:dyDescent="0.4">
      <c r="A39" s="55" t="s">
        <v>599</v>
      </c>
      <c r="B39" s="59">
        <v>1111111</v>
      </c>
      <c r="C39" s="7">
        <v>99999</v>
      </c>
      <c r="D39" s="7">
        <v>8888</v>
      </c>
      <c r="E39" s="7">
        <v>777777</v>
      </c>
      <c r="F39" s="7">
        <v>55555</v>
      </c>
      <c r="G39" s="7">
        <v>4444</v>
      </c>
      <c r="H39" s="7">
        <v>33333</v>
      </c>
    </row>
    <row r="40" spans="1:8" x14ac:dyDescent="0.4">
      <c r="A40" s="55" t="s">
        <v>600</v>
      </c>
      <c r="B40" s="59">
        <v>1111111</v>
      </c>
      <c r="C40" s="7">
        <v>99999</v>
      </c>
      <c r="D40" s="7">
        <v>8888</v>
      </c>
      <c r="E40" s="7">
        <v>777777</v>
      </c>
      <c r="F40" s="7">
        <v>55555</v>
      </c>
      <c r="G40" s="7">
        <v>4444</v>
      </c>
      <c r="H40" s="7">
        <v>33333</v>
      </c>
    </row>
    <row r="41" spans="1:8" x14ac:dyDescent="0.4">
      <c r="A41" s="55" t="s">
        <v>601</v>
      </c>
      <c r="B41" s="59">
        <v>1111111</v>
      </c>
      <c r="C41" s="7">
        <v>99999</v>
      </c>
      <c r="D41" s="7">
        <v>8888</v>
      </c>
      <c r="E41" s="7">
        <v>777777</v>
      </c>
      <c r="F41" s="7">
        <v>55555</v>
      </c>
      <c r="G41" s="7">
        <v>4444</v>
      </c>
      <c r="H41" s="7">
        <v>33333</v>
      </c>
    </row>
    <row r="42" spans="1:8" x14ac:dyDescent="0.4">
      <c r="A42" s="55" t="s">
        <v>602</v>
      </c>
      <c r="B42" s="59">
        <v>1111111</v>
      </c>
      <c r="C42" s="7">
        <v>99999</v>
      </c>
      <c r="D42" s="7">
        <v>8888</v>
      </c>
      <c r="E42" s="7">
        <v>777777</v>
      </c>
      <c r="F42" s="7">
        <v>55555</v>
      </c>
      <c r="G42" s="7">
        <v>4444</v>
      </c>
      <c r="H42" s="7">
        <v>33333</v>
      </c>
    </row>
    <row r="43" spans="1:8" x14ac:dyDescent="0.4">
      <c r="A43" s="55" t="s">
        <v>603</v>
      </c>
      <c r="B43" s="59">
        <v>1111111</v>
      </c>
      <c r="C43" s="7">
        <v>99999</v>
      </c>
      <c r="D43" s="7">
        <v>8888</v>
      </c>
      <c r="E43" s="7">
        <v>777777</v>
      </c>
      <c r="F43" s="7">
        <v>55555</v>
      </c>
      <c r="G43" s="7">
        <v>4444</v>
      </c>
      <c r="H43" s="7">
        <v>33333</v>
      </c>
    </row>
    <row r="44" spans="1:8" x14ac:dyDescent="0.4">
      <c r="A44" s="55" t="s">
        <v>604</v>
      </c>
      <c r="B44" s="59">
        <v>1111111</v>
      </c>
      <c r="C44" s="7">
        <v>99999</v>
      </c>
      <c r="D44" s="7">
        <v>8888</v>
      </c>
      <c r="E44" s="7">
        <v>777777</v>
      </c>
      <c r="F44" s="7">
        <v>55555</v>
      </c>
      <c r="G44" s="7">
        <v>4444</v>
      </c>
      <c r="H44" s="7">
        <v>33333</v>
      </c>
    </row>
    <row r="45" spans="1:8" x14ac:dyDescent="0.4">
      <c r="A45" s="55" t="s">
        <v>605</v>
      </c>
      <c r="B45" s="59">
        <v>1111111</v>
      </c>
      <c r="C45" s="7">
        <v>99999</v>
      </c>
      <c r="D45" s="7">
        <v>8888</v>
      </c>
      <c r="E45" s="7">
        <v>777777</v>
      </c>
      <c r="F45" s="7">
        <v>55555</v>
      </c>
      <c r="G45" s="7">
        <v>4444</v>
      </c>
      <c r="H45" s="7">
        <v>33333</v>
      </c>
    </row>
    <row r="46" spans="1:8" x14ac:dyDescent="0.4">
      <c r="A46" s="55" t="s">
        <v>606</v>
      </c>
      <c r="B46" s="59">
        <v>1111111</v>
      </c>
      <c r="C46" s="7">
        <v>99999</v>
      </c>
      <c r="D46" s="7">
        <v>8888</v>
      </c>
      <c r="E46" s="7">
        <v>777777</v>
      </c>
      <c r="F46" s="7">
        <v>55555</v>
      </c>
      <c r="G46" s="7">
        <v>4444</v>
      </c>
      <c r="H46" s="7">
        <v>33333</v>
      </c>
    </row>
    <row r="47" spans="1:8" x14ac:dyDescent="0.4">
      <c r="A47" s="55" t="s">
        <v>607</v>
      </c>
      <c r="B47" s="59">
        <v>1111111</v>
      </c>
      <c r="C47" s="7">
        <v>99999</v>
      </c>
      <c r="D47" s="7">
        <v>8888</v>
      </c>
      <c r="E47" s="7">
        <v>777777</v>
      </c>
      <c r="F47" s="7">
        <v>55555</v>
      </c>
      <c r="G47" s="7">
        <v>4444</v>
      </c>
      <c r="H47" s="7">
        <v>33333</v>
      </c>
    </row>
    <row r="48" spans="1:8" x14ac:dyDescent="0.4">
      <c r="A48" s="55" t="s">
        <v>608</v>
      </c>
      <c r="B48" s="59">
        <v>1111111</v>
      </c>
      <c r="C48" s="7">
        <v>99999</v>
      </c>
      <c r="D48" s="7">
        <v>8888</v>
      </c>
      <c r="E48" s="7">
        <v>777777</v>
      </c>
      <c r="F48" s="7">
        <v>55555</v>
      </c>
      <c r="G48" s="7">
        <v>4444</v>
      </c>
      <c r="H48" s="7">
        <v>33333</v>
      </c>
    </row>
    <row r="49" spans="1:8" x14ac:dyDescent="0.4">
      <c r="A49" s="55" t="s">
        <v>609</v>
      </c>
      <c r="B49" s="59">
        <v>1111111</v>
      </c>
      <c r="C49" s="7">
        <v>99999</v>
      </c>
      <c r="D49" s="7">
        <v>8888</v>
      </c>
      <c r="E49" s="7">
        <v>777777</v>
      </c>
      <c r="F49" s="7">
        <v>55555</v>
      </c>
      <c r="G49" s="7">
        <v>4444</v>
      </c>
      <c r="H49" s="7">
        <v>33333</v>
      </c>
    </row>
    <row r="50" spans="1:8" x14ac:dyDescent="0.4">
      <c r="A50" s="55" t="s">
        <v>610</v>
      </c>
      <c r="B50" s="58">
        <v>1111111</v>
      </c>
      <c r="C50" s="6">
        <v>99999</v>
      </c>
      <c r="D50" s="6">
        <v>8888</v>
      </c>
      <c r="E50" s="6">
        <v>777777</v>
      </c>
      <c r="F50" s="6">
        <v>55555</v>
      </c>
      <c r="G50" s="6">
        <v>4444</v>
      </c>
      <c r="H50" s="6">
        <v>33333</v>
      </c>
    </row>
    <row r="51" spans="1:8" x14ac:dyDescent="0.4">
      <c r="A51" s="55" t="s">
        <v>611</v>
      </c>
      <c r="B51" s="59"/>
      <c r="C51" s="7"/>
      <c r="D51" s="7"/>
      <c r="E51" s="7"/>
      <c r="F51" s="7"/>
      <c r="G51" s="7"/>
      <c r="H51" s="7"/>
    </row>
    <row r="52" spans="1:8" x14ac:dyDescent="0.4">
      <c r="A52" s="55" t="s">
        <v>612</v>
      </c>
      <c r="B52" s="59">
        <v>1111111</v>
      </c>
      <c r="C52" s="7">
        <v>99999</v>
      </c>
      <c r="D52" s="7">
        <v>8888</v>
      </c>
      <c r="E52" s="7">
        <v>777777</v>
      </c>
      <c r="F52" s="7">
        <v>55555</v>
      </c>
      <c r="G52" s="7">
        <v>4444</v>
      </c>
      <c r="H52" s="7">
        <v>33333</v>
      </c>
    </row>
    <row r="53" spans="1:8" x14ac:dyDescent="0.4">
      <c r="A53" s="55" t="s">
        <v>613</v>
      </c>
      <c r="B53" s="59">
        <v>1111111</v>
      </c>
      <c r="C53" s="7">
        <v>99999</v>
      </c>
      <c r="D53" s="7">
        <v>8888</v>
      </c>
      <c r="E53" s="7">
        <v>777777</v>
      </c>
      <c r="F53" s="7">
        <v>55555</v>
      </c>
      <c r="G53" s="7">
        <v>4444</v>
      </c>
      <c r="H53" s="7">
        <v>33333</v>
      </c>
    </row>
    <row r="54" spans="1:8" x14ac:dyDescent="0.4">
      <c r="A54" s="55" t="s">
        <v>614</v>
      </c>
      <c r="B54" s="59">
        <v>1111111</v>
      </c>
      <c r="C54" s="7">
        <v>99999</v>
      </c>
      <c r="D54" s="7">
        <v>8888</v>
      </c>
      <c r="E54" s="7">
        <v>777777</v>
      </c>
      <c r="F54" s="7">
        <v>55555</v>
      </c>
      <c r="G54" s="7">
        <v>4444</v>
      </c>
      <c r="H54" s="7">
        <v>33333</v>
      </c>
    </row>
    <row r="55" spans="1:8" x14ac:dyDescent="0.4">
      <c r="A55" s="55" t="s">
        <v>615</v>
      </c>
      <c r="B55" s="59">
        <v>1111111</v>
      </c>
      <c r="C55" s="7">
        <v>99999</v>
      </c>
      <c r="D55" s="7">
        <v>8888</v>
      </c>
      <c r="E55" s="7">
        <v>777777</v>
      </c>
      <c r="F55" s="7">
        <v>55555</v>
      </c>
      <c r="G55" s="7">
        <v>4444</v>
      </c>
      <c r="H55" s="7">
        <v>33333</v>
      </c>
    </row>
    <row r="56" spans="1:8" x14ac:dyDescent="0.4">
      <c r="A56" s="55" t="s">
        <v>616</v>
      </c>
      <c r="B56" s="58">
        <v>1111111</v>
      </c>
      <c r="C56" s="6">
        <v>99999</v>
      </c>
      <c r="D56" s="6">
        <v>8888</v>
      </c>
      <c r="E56" s="6">
        <v>777777</v>
      </c>
      <c r="F56" s="6">
        <v>55555</v>
      </c>
      <c r="G56" s="6">
        <v>4444</v>
      </c>
      <c r="H56" s="6">
        <v>33333</v>
      </c>
    </row>
    <row r="57" spans="1:8" x14ac:dyDescent="0.4">
      <c r="A57" s="55" t="s">
        <v>617</v>
      </c>
      <c r="B57" s="59">
        <v>1111111</v>
      </c>
      <c r="C57" s="7">
        <v>99999</v>
      </c>
      <c r="D57" s="7">
        <v>8888</v>
      </c>
      <c r="E57" s="7">
        <v>777777</v>
      </c>
      <c r="F57" s="7">
        <v>55555</v>
      </c>
      <c r="G57" s="7">
        <v>4444</v>
      </c>
      <c r="H57" s="7">
        <v>33333</v>
      </c>
    </row>
    <row r="58" spans="1:8" x14ac:dyDescent="0.4">
      <c r="A58" s="55" t="s">
        <v>618</v>
      </c>
      <c r="B58" s="59"/>
      <c r="C58" s="7"/>
      <c r="D58" s="7"/>
      <c r="E58" s="7"/>
      <c r="F58" s="7"/>
      <c r="G58" s="7"/>
      <c r="H58" s="7"/>
    </row>
    <row r="59" spans="1:8" x14ac:dyDescent="0.4">
      <c r="A59" s="55" t="s">
        <v>619</v>
      </c>
      <c r="B59" s="59">
        <v>1111111</v>
      </c>
      <c r="C59" s="7">
        <v>99999</v>
      </c>
      <c r="D59" s="7">
        <v>8888</v>
      </c>
      <c r="E59" s="7">
        <v>777777</v>
      </c>
      <c r="F59" s="7">
        <v>55555</v>
      </c>
      <c r="G59" s="7">
        <v>4444</v>
      </c>
      <c r="H59" s="7">
        <v>33333</v>
      </c>
    </row>
    <row r="60" spans="1:8" x14ac:dyDescent="0.4">
      <c r="A60" s="55" t="s">
        <v>620</v>
      </c>
      <c r="B60" s="59">
        <v>1111111</v>
      </c>
      <c r="C60" s="7">
        <v>99999</v>
      </c>
      <c r="D60" s="7">
        <v>8888</v>
      </c>
      <c r="E60" s="7">
        <v>777777</v>
      </c>
      <c r="F60" s="7">
        <v>55555</v>
      </c>
      <c r="G60" s="7">
        <v>4444</v>
      </c>
      <c r="H60" s="7">
        <v>33333</v>
      </c>
    </row>
    <row r="61" spans="1:8" x14ac:dyDescent="0.4">
      <c r="A61" s="55" t="s">
        <v>621</v>
      </c>
      <c r="B61" s="59">
        <v>1111111</v>
      </c>
      <c r="C61" s="7">
        <v>99999</v>
      </c>
      <c r="D61" s="7">
        <v>8888</v>
      </c>
      <c r="E61" s="7">
        <v>777777</v>
      </c>
      <c r="F61" s="7">
        <v>55555</v>
      </c>
      <c r="G61" s="7">
        <v>4444</v>
      </c>
      <c r="H61" s="7">
        <v>33333</v>
      </c>
    </row>
    <row r="62" spans="1:8" x14ac:dyDescent="0.4">
      <c r="A62" s="55" t="s">
        <v>622</v>
      </c>
      <c r="B62" s="59">
        <v>1111111</v>
      </c>
      <c r="C62" s="7">
        <v>99999</v>
      </c>
      <c r="D62" s="7">
        <v>8888</v>
      </c>
      <c r="E62" s="7">
        <v>777777</v>
      </c>
      <c r="F62" s="7">
        <v>55555</v>
      </c>
      <c r="G62" s="7">
        <v>4444</v>
      </c>
      <c r="H62" s="7">
        <v>33333</v>
      </c>
    </row>
    <row r="63" spans="1:8" x14ac:dyDescent="0.4">
      <c r="A63" s="55" t="s">
        <v>623</v>
      </c>
      <c r="B63" s="59"/>
      <c r="C63" s="7"/>
      <c r="D63" s="7"/>
      <c r="E63" s="7"/>
      <c r="F63" s="7"/>
      <c r="G63" s="7"/>
      <c r="H63" s="7"/>
    </row>
    <row r="64" spans="1:8" x14ac:dyDescent="0.4">
      <c r="A64" s="55" t="s">
        <v>624</v>
      </c>
      <c r="B64" s="59">
        <v>1111111</v>
      </c>
      <c r="C64" s="7">
        <v>99999</v>
      </c>
      <c r="D64" s="7">
        <v>8888</v>
      </c>
      <c r="E64" s="7">
        <v>777777</v>
      </c>
      <c r="F64" s="7">
        <v>55555</v>
      </c>
      <c r="G64" s="7">
        <v>4444</v>
      </c>
      <c r="H64" s="7">
        <v>33333</v>
      </c>
    </row>
    <row r="65" spans="1:8" x14ac:dyDescent="0.4">
      <c r="A65" s="55" t="s">
        <v>625</v>
      </c>
      <c r="B65" s="59"/>
      <c r="C65" s="7"/>
      <c r="D65" s="7"/>
      <c r="E65" s="7"/>
      <c r="F65" s="7"/>
      <c r="G65" s="7"/>
      <c r="H65" s="7"/>
    </row>
    <row r="66" spans="1:8" x14ac:dyDescent="0.4">
      <c r="A66" s="55" t="s">
        <v>626</v>
      </c>
      <c r="B66" s="59">
        <v>1111111</v>
      </c>
      <c r="C66" s="7">
        <v>99999</v>
      </c>
      <c r="D66" s="7">
        <v>8888</v>
      </c>
      <c r="E66" s="7">
        <v>777777</v>
      </c>
      <c r="F66" s="7">
        <v>55555</v>
      </c>
      <c r="G66" s="7">
        <v>4444</v>
      </c>
      <c r="H66" s="7">
        <v>33333</v>
      </c>
    </row>
    <row r="67" spans="1:8" x14ac:dyDescent="0.4">
      <c r="A67" s="55" t="s">
        <v>627</v>
      </c>
      <c r="B67" s="59"/>
      <c r="C67" s="7"/>
      <c r="D67" s="7"/>
      <c r="E67" s="7"/>
      <c r="F67" s="7"/>
      <c r="G67" s="7"/>
      <c r="H67" s="7"/>
    </row>
    <row r="68" spans="1:8" x14ac:dyDescent="0.4">
      <c r="A68" s="55" t="s">
        <v>628</v>
      </c>
      <c r="B68" s="59">
        <v>1111111</v>
      </c>
      <c r="C68" s="7">
        <v>99999</v>
      </c>
      <c r="D68" s="7">
        <v>8888</v>
      </c>
      <c r="E68" s="7">
        <v>777777</v>
      </c>
      <c r="F68" s="7">
        <v>55555</v>
      </c>
      <c r="G68" s="7">
        <v>4444</v>
      </c>
      <c r="H68" s="7">
        <v>33333</v>
      </c>
    </row>
    <row r="69" spans="1:8" x14ac:dyDescent="0.4">
      <c r="A69" s="55" t="s">
        <v>629</v>
      </c>
      <c r="B69" s="59">
        <v>1111111</v>
      </c>
      <c r="C69" s="7">
        <v>99999</v>
      </c>
      <c r="D69" s="7">
        <v>8888</v>
      </c>
      <c r="E69" s="7">
        <v>777777</v>
      </c>
      <c r="F69" s="7">
        <v>55555</v>
      </c>
      <c r="G69" s="7">
        <v>4444</v>
      </c>
      <c r="H69" s="7">
        <v>33333</v>
      </c>
    </row>
    <row r="70" spans="1:8" x14ac:dyDescent="0.4">
      <c r="A70" s="55" t="s">
        <v>630</v>
      </c>
      <c r="B70" s="59">
        <v>1111111</v>
      </c>
      <c r="C70" s="7">
        <v>99999</v>
      </c>
      <c r="D70" s="7">
        <v>8888</v>
      </c>
      <c r="E70" s="7">
        <v>777777</v>
      </c>
      <c r="F70" s="7">
        <v>55555</v>
      </c>
      <c r="G70" s="7">
        <v>4444</v>
      </c>
      <c r="H70" s="7">
        <v>33333</v>
      </c>
    </row>
  </sheetData>
  <mergeCells count="1">
    <mergeCell ref="A1:C1"/>
  </mergeCells>
  <phoneticPr fontId="3"/>
  <pageMargins left="0.25" right="0.25" top="0.75" bottom="0.75" header="0.3" footer="0.3"/>
  <pageSetup paperSize="8" scale="82"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4385E-CA39-47AD-918C-A2BA5015C9E2}">
  <dimension ref="A2:AC34"/>
  <sheetViews>
    <sheetView workbookViewId="0"/>
  </sheetViews>
  <sheetFormatPr defaultRowHeight="18.75" x14ac:dyDescent="0.4"/>
  <cols>
    <col min="1" max="1" width="32" bestFit="1" customWidth="1"/>
    <col min="2" max="2" width="21.375" bestFit="1" customWidth="1"/>
    <col min="3" max="3" width="21.75" bestFit="1" customWidth="1"/>
    <col min="4" max="4" width="21.375" bestFit="1" customWidth="1"/>
    <col min="5" max="5" width="21.75" bestFit="1" customWidth="1"/>
    <col min="6" max="6" width="13.625" customWidth="1"/>
    <col min="7" max="7" width="32" bestFit="1" customWidth="1"/>
    <col min="8" max="8" width="17.625" bestFit="1" customWidth="1"/>
    <col min="9" max="9" width="21.75" bestFit="1" customWidth="1"/>
    <col min="10" max="10" width="12.375" bestFit="1" customWidth="1"/>
    <col min="11" max="11" width="32" bestFit="1" customWidth="1"/>
    <col min="12" max="12" width="17.375" bestFit="1" customWidth="1"/>
    <col min="13" max="13" width="7.375" bestFit="1" customWidth="1"/>
    <col min="14" max="14" width="12.375" bestFit="1" customWidth="1"/>
    <col min="15" max="15" width="5.5" bestFit="1" customWidth="1"/>
    <col min="16" max="16" width="7.375" bestFit="1" customWidth="1"/>
    <col min="17" max="17" width="7" bestFit="1" customWidth="1"/>
    <col min="18" max="18" width="5.5" bestFit="1" customWidth="1"/>
    <col min="19" max="19" width="7" bestFit="1" customWidth="1"/>
    <col min="20" max="20" width="32" bestFit="1" customWidth="1"/>
    <col min="21" max="21" width="21.75" bestFit="1" customWidth="1"/>
    <col min="22" max="23" width="23.875" bestFit="1" customWidth="1"/>
    <col min="24" max="24" width="21.75" bestFit="1" customWidth="1"/>
    <col min="25" max="26" width="23.875" bestFit="1" customWidth="1"/>
    <col min="27" max="27" width="28.5" bestFit="1" customWidth="1"/>
    <col min="28" max="29" width="30.625" bestFit="1" customWidth="1"/>
    <col min="30" max="30" width="28.5" bestFit="1" customWidth="1"/>
    <col min="31" max="32" width="30.625" bestFit="1" customWidth="1"/>
  </cols>
  <sheetData>
    <row r="2" spans="1:29" x14ac:dyDescent="0.4">
      <c r="B2" s="12" t="s">
        <v>446</v>
      </c>
      <c r="G2" s="12" t="s">
        <v>355</v>
      </c>
      <c r="H2" t="s">
        <v>486</v>
      </c>
      <c r="I2" t="s">
        <v>487</v>
      </c>
      <c r="K2" s="12" t="s">
        <v>492</v>
      </c>
      <c r="L2" s="12" t="s">
        <v>446</v>
      </c>
    </row>
    <row r="3" spans="1:29" x14ac:dyDescent="0.4">
      <c r="B3" t="s">
        <v>477</v>
      </c>
      <c r="D3" t="s">
        <v>474</v>
      </c>
      <c r="G3" s="8">
        <v>201</v>
      </c>
      <c r="H3" s="7">
        <v>1656600</v>
      </c>
      <c r="I3" s="7">
        <v>1776600</v>
      </c>
      <c r="K3" s="12" t="s">
        <v>355</v>
      </c>
      <c r="L3" t="s">
        <v>434</v>
      </c>
      <c r="M3" t="s">
        <v>436</v>
      </c>
      <c r="N3" t="s">
        <v>433</v>
      </c>
      <c r="O3" t="s">
        <v>395</v>
      </c>
      <c r="P3" t="s">
        <v>140</v>
      </c>
      <c r="Q3" t="s">
        <v>445</v>
      </c>
      <c r="R3" t="s">
        <v>356</v>
      </c>
      <c r="T3" s="14"/>
      <c r="U3" s="18" t="s">
        <v>446</v>
      </c>
      <c r="V3" s="7"/>
      <c r="W3" s="7"/>
      <c r="X3" s="7"/>
      <c r="Y3" s="7"/>
      <c r="Z3" s="7"/>
      <c r="AA3" s="7"/>
      <c r="AB3" s="7"/>
      <c r="AC3" s="7"/>
    </row>
    <row r="4" spans="1:29" x14ac:dyDescent="0.4">
      <c r="A4" s="12" t="s">
        <v>355</v>
      </c>
      <c r="B4" t="s">
        <v>484</v>
      </c>
      <c r="C4" t="s">
        <v>485</v>
      </c>
      <c r="D4" t="s">
        <v>484</v>
      </c>
      <c r="E4" t="s">
        <v>485</v>
      </c>
      <c r="G4" s="13" t="s">
        <v>14</v>
      </c>
      <c r="H4" s="7">
        <v>1656600</v>
      </c>
      <c r="I4" s="7">
        <v>1776600</v>
      </c>
      <c r="K4" s="8">
        <v>201</v>
      </c>
      <c r="L4" s="14">
        <v>2</v>
      </c>
      <c r="M4" s="14">
        <v>2</v>
      </c>
      <c r="N4" s="14">
        <v>3</v>
      </c>
      <c r="O4" s="14">
        <v>5</v>
      </c>
      <c r="P4" s="14">
        <v>3</v>
      </c>
      <c r="Q4" s="14"/>
      <c r="R4" s="14">
        <v>15</v>
      </c>
      <c r="T4" s="14"/>
      <c r="U4" s="7" t="s">
        <v>477</v>
      </c>
      <c r="V4" s="7"/>
      <c r="W4" s="7"/>
      <c r="X4" s="7" t="s">
        <v>474</v>
      </c>
      <c r="Y4" s="7"/>
      <c r="Z4" s="7"/>
      <c r="AA4" s="7" t="s">
        <v>519</v>
      </c>
      <c r="AB4" s="7" t="s">
        <v>520</v>
      </c>
      <c r="AC4" s="7" t="s">
        <v>522</v>
      </c>
    </row>
    <row r="5" spans="1:29" x14ac:dyDescent="0.4">
      <c r="A5" s="8">
        <v>201</v>
      </c>
      <c r="B5" s="17">
        <v>200</v>
      </c>
      <c r="C5" s="7">
        <v>10000000</v>
      </c>
      <c r="D5" s="17">
        <v>153</v>
      </c>
      <c r="E5" s="7">
        <v>12000000</v>
      </c>
      <c r="G5" s="8">
        <v>202</v>
      </c>
      <c r="H5" s="7">
        <v>1624200</v>
      </c>
      <c r="I5" s="7">
        <v>1744200</v>
      </c>
      <c r="K5" s="13" t="s">
        <v>14</v>
      </c>
      <c r="L5" s="14">
        <v>2</v>
      </c>
      <c r="M5" s="14">
        <v>2</v>
      </c>
      <c r="N5" s="14">
        <v>3</v>
      </c>
      <c r="O5" s="14">
        <v>5</v>
      </c>
      <c r="P5" s="14">
        <v>3</v>
      </c>
      <c r="Q5" s="14"/>
      <c r="R5" s="14">
        <v>15</v>
      </c>
      <c r="T5" s="20" t="s">
        <v>355</v>
      </c>
      <c r="U5" s="7" t="s">
        <v>485</v>
      </c>
      <c r="V5" s="7" t="s">
        <v>521</v>
      </c>
      <c r="W5" s="7" t="s">
        <v>523</v>
      </c>
      <c r="X5" s="7" t="s">
        <v>485</v>
      </c>
      <c r="Y5" s="7" t="s">
        <v>521</v>
      </c>
      <c r="Z5" s="7" t="s">
        <v>523</v>
      </c>
      <c r="AA5" s="7"/>
      <c r="AB5" s="7"/>
      <c r="AC5" s="7"/>
    </row>
    <row r="6" spans="1:29" x14ac:dyDescent="0.4">
      <c r="A6" s="13" t="s">
        <v>14</v>
      </c>
      <c r="B6" s="17">
        <v>200</v>
      </c>
      <c r="C6" s="7">
        <v>10000000</v>
      </c>
      <c r="D6" s="17">
        <v>153</v>
      </c>
      <c r="E6" s="7">
        <v>12000000</v>
      </c>
      <c r="G6" s="13" t="s">
        <v>536</v>
      </c>
      <c r="H6" s="7">
        <v>1624200</v>
      </c>
      <c r="I6" s="7">
        <v>1744200</v>
      </c>
      <c r="K6" s="8">
        <v>202</v>
      </c>
      <c r="L6" s="14">
        <v>2</v>
      </c>
      <c r="M6" s="14">
        <v>1</v>
      </c>
      <c r="N6" s="14">
        <v>3</v>
      </c>
      <c r="O6" s="14">
        <v>5</v>
      </c>
      <c r="P6" s="14">
        <v>3</v>
      </c>
      <c r="Q6" s="14"/>
      <c r="R6" s="14">
        <v>14</v>
      </c>
      <c r="T6" s="21">
        <v>201</v>
      </c>
      <c r="U6" s="7">
        <v>10000000</v>
      </c>
      <c r="V6" s="7">
        <v>50000</v>
      </c>
      <c r="W6" s="7">
        <v>10000</v>
      </c>
      <c r="X6" s="7">
        <v>12000000</v>
      </c>
      <c r="Y6" s="7">
        <v>52000</v>
      </c>
      <c r="Z6" s="7">
        <v>12000</v>
      </c>
      <c r="AA6" s="7">
        <v>22000000</v>
      </c>
      <c r="AB6" s="7">
        <v>102000</v>
      </c>
      <c r="AC6" s="7">
        <v>22000</v>
      </c>
    </row>
    <row r="7" spans="1:29" x14ac:dyDescent="0.4">
      <c r="A7" s="8">
        <v>202</v>
      </c>
      <c r="B7" s="17">
        <v>300</v>
      </c>
      <c r="C7" s="7">
        <v>10000000</v>
      </c>
      <c r="D7" s="17">
        <v>123</v>
      </c>
      <c r="E7" s="7">
        <v>1000000</v>
      </c>
      <c r="G7" s="8">
        <v>203</v>
      </c>
      <c r="H7" s="7">
        <v>1624200</v>
      </c>
      <c r="I7" s="7">
        <v>1744200</v>
      </c>
      <c r="K7" s="13" t="s">
        <v>536</v>
      </c>
      <c r="L7" s="14">
        <v>2</v>
      </c>
      <c r="M7" s="14">
        <v>1</v>
      </c>
      <c r="N7" s="14">
        <v>3</v>
      </c>
      <c r="O7" s="14">
        <v>5</v>
      </c>
      <c r="P7" s="14">
        <v>3</v>
      </c>
      <c r="Q7" s="14"/>
      <c r="R7" s="14">
        <v>14</v>
      </c>
      <c r="T7" s="22" t="s">
        <v>14</v>
      </c>
      <c r="U7" s="7">
        <v>10000000</v>
      </c>
      <c r="V7" s="7">
        <v>50000</v>
      </c>
      <c r="W7" s="7">
        <v>10000</v>
      </c>
      <c r="X7" s="7">
        <v>12000000</v>
      </c>
      <c r="Y7" s="7">
        <v>52000</v>
      </c>
      <c r="Z7" s="7">
        <v>12000</v>
      </c>
      <c r="AA7" s="7">
        <v>22000000</v>
      </c>
      <c r="AB7" s="7">
        <v>102000</v>
      </c>
      <c r="AC7" s="7">
        <v>22000</v>
      </c>
    </row>
    <row r="8" spans="1:29" x14ac:dyDescent="0.4">
      <c r="A8" s="13" t="s">
        <v>536</v>
      </c>
      <c r="B8" s="14">
        <v>300</v>
      </c>
      <c r="C8" s="14">
        <v>10000000</v>
      </c>
      <c r="D8" s="14">
        <v>123</v>
      </c>
      <c r="E8" s="14">
        <v>1000000</v>
      </c>
      <c r="G8" s="13" t="s">
        <v>538</v>
      </c>
      <c r="H8" s="7">
        <v>1624200</v>
      </c>
      <c r="I8" s="7">
        <v>1744200</v>
      </c>
      <c r="K8" s="8">
        <v>203</v>
      </c>
      <c r="L8" s="14">
        <v>2</v>
      </c>
      <c r="M8" s="14">
        <v>1</v>
      </c>
      <c r="N8" s="14">
        <v>3</v>
      </c>
      <c r="O8" s="14">
        <v>5</v>
      </c>
      <c r="P8" s="14">
        <v>3</v>
      </c>
      <c r="Q8" s="14"/>
      <c r="R8" s="14">
        <v>14</v>
      </c>
      <c r="T8" s="21">
        <v>202</v>
      </c>
      <c r="U8" s="7">
        <v>10000000</v>
      </c>
      <c r="V8" s="7">
        <v>50000</v>
      </c>
      <c r="W8" s="7">
        <v>10000</v>
      </c>
      <c r="X8" s="7">
        <v>1000000</v>
      </c>
      <c r="Y8" s="7">
        <v>1000</v>
      </c>
      <c r="Z8" s="7">
        <v>1000</v>
      </c>
      <c r="AA8" s="7">
        <v>11000000</v>
      </c>
      <c r="AB8" s="7">
        <v>51000</v>
      </c>
      <c r="AC8" s="7">
        <v>11000</v>
      </c>
    </row>
    <row r="9" spans="1:29" x14ac:dyDescent="0.4">
      <c r="A9" s="8">
        <v>203</v>
      </c>
      <c r="B9" s="17">
        <v>300</v>
      </c>
      <c r="C9" s="7">
        <v>10000000</v>
      </c>
      <c r="D9" s="17">
        <v>123</v>
      </c>
      <c r="E9" s="7">
        <v>1000000</v>
      </c>
      <c r="G9" s="8">
        <v>204</v>
      </c>
      <c r="H9" s="7">
        <v>1624200</v>
      </c>
      <c r="I9" s="7">
        <v>1744200</v>
      </c>
      <c r="K9" s="13" t="s">
        <v>538</v>
      </c>
      <c r="L9" s="14">
        <v>2</v>
      </c>
      <c r="M9" s="14">
        <v>1</v>
      </c>
      <c r="N9" s="14">
        <v>3</v>
      </c>
      <c r="O9" s="14">
        <v>5</v>
      </c>
      <c r="P9" s="14">
        <v>3</v>
      </c>
      <c r="Q9" s="14"/>
      <c r="R9" s="14">
        <v>14</v>
      </c>
      <c r="T9" s="19" t="s">
        <v>536</v>
      </c>
      <c r="U9" s="7">
        <v>10000000</v>
      </c>
      <c r="V9" s="7">
        <v>50000</v>
      </c>
      <c r="W9" s="7">
        <v>10000</v>
      </c>
      <c r="X9" s="7">
        <v>1000000</v>
      </c>
      <c r="Y9" s="7">
        <v>1000</v>
      </c>
      <c r="Z9" s="7">
        <v>1000</v>
      </c>
      <c r="AA9" s="7">
        <v>11000000</v>
      </c>
      <c r="AB9" s="7">
        <v>51000</v>
      </c>
      <c r="AC9" s="7">
        <v>11000</v>
      </c>
    </row>
    <row r="10" spans="1:29" x14ac:dyDescent="0.4">
      <c r="A10" s="13" t="s">
        <v>538</v>
      </c>
      <c r="B10" s="14">
        <v>300</v>
      </c>
      <c r="C10" s="14">
        <v>10000000</v>
      </c>
      <c r="D10" s="14">
        <v>123</v>
      </c>
      <c r="E10" s="14">
        <v>1000000</v>
      </c>
      <c r="G10" s="13" t="s">
        <v>16</v>
      </c>
      <c r="H10" s="7">
        <v>1624200</v>
      </c>
      <c r="I10" s="7">
        <v>1744200</v>
      </c>
      <c r="K10" s="8">
        <v>204</v>
      </c>
      <c r="L10" s="14">
        <v>2</v>
      </c>
      <c r="M10" s="14">
        <v>1</v>
      </c>
      <c r="N10" s="14">
        <v>3</v>
      </c>
      <c r="O10" s="14">
        <v>5</v>
      </c>
      <c r="P10" s="14">
        <v>3</v>
      </c>
      <c r="Q10" s="14"/>
      <c r="R10" s="14">
        <v>14</v>
      </c>
      <c r="T10" s="21">
        <v>203</v>
      </c>
      <c r="U10" s="7">
        <v>10000000</v>
      </c>
      <c r="V10" s="7">
        <v>50000</v>
      </c>
      <c r="W10" s="7">
        <v>10000</v>
      </c>
      <c r="X10" s="7">
        <v>1000000</v>
      </c>
      <c r="Y10" s="7">
        <v>1000</v>
      </c>
      <c r="Z10" s="7">
        <v>1000</v>
      </c>
      <c r="AA10" s="7">
        <v>11000000</v>
      </c>
      <c r="AB10" s="7">
        <v>51000</v>
      </c>
      <c r="AC10" s="7">
        <v>11000</v>
      </c>
    </row>
    <row r="11" spans="1:29" x14ac:dyDescent="0.4">
      <c r="A11" s="8">
        <v>204</v>
      </c>
      <c r="B11" s="17">
        <v>300</v>
      </c>
      <c r="C11" s="7">
        <v>10000000</v>
      </c>
      <c r="D11" s="17">
        <v>123</v>
      </c>
      <c r="E11" s="7">
        <v>1000000</v>
      </c>
      <c r="G11" s="8">
        <v>205</v>
      </c>
      <c r="H11" s="7">
        <v>1624200</v>
      </c>
      <c r="I11" s="7">
        <v>1744200</v>
      </c>
      <c r="K11" s="13" t="s">
        <v>16</v>
      </c>
      <c r="L11" s="14">
        <v>2</v>
      </c>
      <c r="M11" s="14">
        <v>1</v>
      </c>
      <c r="N11" s="14">
        <v>3</v>
      </c>
      <c r="O11" s="14">
        <v>5</v>
      </c>
      <c r="P11" s="14">
        <v>3</v>
      </c>
      <c r="Q11" s="14"/>
      <c r="R11" s="14">
        <v>14</v>
      </c>
      <c r="T11" s="19" t="s">
        <v>538</v>
      </c>
      <c r="U11" s="7">
        <v>10000000</v>
      </c>
      <c r="V11" s="7">
        <v>50000</v>
      </c>
      <c r="W11" s="7">
        <v>10000</v>
      </c>
      <c r="X11" s="7">
        <v>1000000</v>
      </c>
      <c r="Y11" s="7">
        <v>1000</v>
      </c>
      <c r="Z11" s="7">
        <v>1000</v>
      </c>
      <c r="AA11" s="7">
        <v>11000000</v>
      </c>
      <c r="AB11" s="7">
        <v>51000</v>
      </c>
      <c r="AC11" s="7">
        <v>11000</v>
      </c>
    </row>
    <row r="12" spans="1:29" x14ac:dyDescent="0.4">
      <c r="A12" s="13" t="s">
        <v>16</v>
      </c>
      <c r="B12" s="17">
        <v>300</v>
      </c>
      <c r="C12" s="7">
        <v>10000000</v>
      </c>
      <c r="D12" s="17">
        <v>123</v>
      </c>
      <c r="E12" s="7">
        <v>1000000</v>
      </c>
      <c r="G12" s="13" t="s">
        <v>18</v>
      </c>
      <c r="H12" s="7">
        <v>1624200</v>
      </c>
      <c r="I12" s="7">
        <v>1744200</v>
      </c>
      <c r="K12" s="8">
        <v>205</v>
      </c>
      <c r="L12" s="14">
        <v>2</v>
      </c>
      <c r="M12" s="14">
        <v>1</v>
      </c>
      <c r="N12" s="14">
        <v>3</v>
      </c>
      <c r="O12" s="14">
        <v>5</v>
      </c>
      <c r="P12" s="14">
        <v>3</v>
      </c>
      <c r="Q12" s="14"/>
      <c r="R12" s="14">
        <v>14</v>
      </c>
      <c r="T12" s="21">
        <v>204</v>
      </c>
      <c r="U12" s="7">
        <v>10000000</v>
      </c>
      <c r="V12" s="7">
        <v>50000</v>
      </c>
      <c r="W12" s="7">
        <v>10000</v>
      </c>
      <c r="X12" s="7">
        <v>1000000</v>
      </c>
      <c r="Y12" s="7">
        <v>1000</v>
      </c>
      <c r="Z12" s="7">
        <v>1000</v>
      </c>
      <c r="AA12" s="7">
        <v>11000000</v>
      </c>
      <c r="AB12" s="7">
        <v>51000</v>
      </c>
      <c r="AC12" s="7">
        <v>11000</v>
      </c>
    </row>
    <row r="13" spans="1:29" x14ac:dyDescent="0.4">
      <c r="A13" s="8">
        <v>205</v>
      </c>
      <c r="B13" s="17">
        <v>300</v>
      </c>
      <c r="C13" s="7">
        <v>10000000</v>
      </c>
      <c r="D13" s="17">
        <v>123</v>
      </c>
      <c r="E13" s="7">
        <v>1000000</v>
      </c>
      <c r="G13" s="8">
        <v>206</v>
      </c>
      <c r="H13" s="7">
        <v>1624200</v>
      </c>
      <c r="I13" s="7">
        <v>1744200</v>
      </c>
      <c r="K13" s="13" t="s">
        <v>18</v>
      </c>
      <c r="L13" s="14">
        <v>2</v>
      </c>
      <c r="M13" s="14">
        <v>1</v>
      </c>
      <c r="N13" s="14">
        <v>3</v>
      </c>
      <c r="O13" s="14">
        <v>5</v>
      </c>
      <c r="P13" s="14">
        <v>3</v>
      </c>
      <c r="Q13" s="14"/>
      <c r="R13" s="14">
        <v>14</v>
      </c>
      <c r="T13" s="22" t="s">
        <v>16</v>
      </c>
      <c r="U13" s="7">
        <v>10000000</v>
      </c>
      <c r="V13" s="7">
        <v>50000</v>
      </c>
      <c r="W13" s="7">
        <v>10000</v>
      </c>
      <c r="X13" s="7">
        <v>1000000</v>
      </c>
      <c r="Y13" s="7">
        <v>1000</v>
      </c>
      <c r="Z13" s="7">
        <v>1000</v>
      </c>
      <c r="AA13" s="7">
        <v>11000000</v>
      </c>
      <c r="AB13" s="7">
        <v>51000</v>
      </c>
      <c r="AC13" s="7">
        <v>11000</v>
      </c>
    </row>
    <row r="14" spans="1:29" x14ac:dyDescent="0.4">
      <c r="A14" s="13" t="s">
        <v>18</v>
      </c>
      <c r="B14" s="17">
        <v>300</v>
      </c>
      <c r="C14" s="7">
        <v>10000000</v>
      </c>
      <c r="D14" s="17">
        <v>123</v>
      </c>
      <c r="E14" s="7">
        <v>1000000</v>
      </c>
      <c r="G14" s="13" t="s">
        <v>59</v>
      </c>
      <c r="H14" s="7">
        <v>1624200</v>
      </c>
      <c r="I14" s="7">
        <v>1744200</v>
      </c>
      <c r="K14" s="8">
        <v>206</v>
      </c>
      <c r="L14" s="14">
        <v>2</v>
      </c>
      <c r="M14" s="14">
        <v>1</v>
      </c>
      <c r="N14" s="14">
        <v>3</v>
      </c>
      <c r="O14" s="14">
        <v>5</v>
      </c>
      <c r="P14" s="14">
        <v>3</v>
      </c>
      <c r="Q14" s="14"/>
      <c r="R14" s="14">
        <v>14</v>
      </c>
      <c r="T14" s="21">
        <v>205</v>
      </c>
      <c r="U14" s="7">
        <v>10000000</v>
      </c>
      <c r="V14" s="7">
        <v>50000</v>
      </c>
      <c r="W14" s="7">
        <v>10000</v>
      </c>
      <c r="X14" s="7">
        <v>1000000</v>
      </c>
      <c r="Y14" s="7">
        <v>1000</v>
      </c>
      <c r="Z14" s="7">
        <v>1000</v>
      </c>
      <c r="AA14" s="7">
        <v>11000000</v>
      </c>
      <c r="AB14" s="7">
        <v>51000</v>
      </c>
      <c r="AC14" s="7">
        <v>11000</v>
      </c>
    </row>
    <row r="15" spans="1:29" x14ac:dyDescent="0.4">
      <c r="A15" s="8">
        <v>206</v>
      </c>
      <c r="B15" s="17">
        <v>300</v>
      </c>
      <c r="C15" s="7">
        <v>1000000</v>
      </c>
      <c r="D15" s="17">
        <v>123</v>
      </c>
      <c r="E15" s="7">
        <v>10000000</v>
      </c>
      <c r="G15" s="8">
        <v>207</v>
      </c>
      <c r="H15" s="7">
        <v>1624200</v>
      </c>
      <c r="I15" s="7">
        <v>1744200</v>
      </c>
      <c r="K15" s="13" t="s">
        <v>59</v>
      </c>
      <c r="L15" s="14">
        <v>2</v>
      </c>
      <c r="M15" s="14">
        <v>1</v>
      </c>
      <c r="N15" s="14">
        <v>3</v>
      </c>
      <c r="O15" s="14">
        <v>5</v>
      </c>
      <c r="P15" s="14">
        <v>3</v>
      </c>
      <c r="Q15" s="14"/>
      <c r="R15" s="14">
        <v>14</v>
      </c>
      <c r="T15" s="22" t="s">
        <v>18</v>
      </c>
      <c r="U15" s="7">
        <v>10000000</v>
      </c>
      <c r="V15" s="7">
        <v>50000</v>
      </c>
      <c r="W15" s="7">
        <v>10000</v>
      </c>
      <c r="X15" s="7">
        <v>1000000</v>
      </c>
      <c r="Y15" s="7">
        <v>1000</v>
      </c>
      <c r="Z15" s="7">
        <v>1000</v>
      </c>
      <c r="AA15" s="7">
        <v>11000000</v>
      </c>
      <c r="AB15" s="7">
        <v>51000</v>
      </c>
      <c r="AC15" s="7">
        <v>11000</v>
      </c>
    </row>
    <row r="16" spans="1:29" x14ac:dyDescent="0.4">
      <c r="A16" s="13" t="s">
        <v>59</v>
      </c>
      <c r="B16" s="17">
        <v>300</v>
      </c>
      <c r="C16" s="7">
        <v>1000000</v>
      </c>
      <c r="D16" s="17">
        <v>123</v>
      </c>
      <c r="E16" s="7">
        <v>10000000</v>
      </c>
      <c r="G16" s="13" t="s">
        <v>55</v>
      </c>
      <c r="H16" s="7">
        <v>1624200</v>
      </c>
      <c r="I16" s="7">
        <v>1744200</v>
      </c>
      <c r="K16" s="8">
        <v>207</v>
      </c>
      <c r="L16" s="14">
        <v>2</v>
      </c>
      <c r="M16" s="14">
        <v>1</v>
      </c>
      <c r="N16" s="14">
        <v>3</v>
      </c>
      <c r="O16" s="14">
        <v>5</v>
      </c>
      <c r="P16" s="14">
        <v>3</v>
      </c>
      <c r="Q16" s="14"/>
      <c r="R16" s="14">
        <v>14</v>
      </c>
      <c r="T16" s="21">
        <v>206</v>
      </c>
      <c r="U16" s="7">
        <v>1000000</v>
      </c>
      <c r="V16" s="7">
        <v>1000</v>
      </c>
      <c r="W16" s="7">
        <v>1000</v>
      </c>
      <c r="X16" s="7">
        <v>10000000</v>
      </c>
      <c r="Y16" s="7">
        <v>50000</v>
      </c>
      <c r="Z16" s="7">
        <v>10000</v>
      </c>
      <c r="AA16" s="7">
        <v>11000000</v>
      </c>
      <c r="AB16" s="7">
        <v>51000</v>
      </c>
      <c r="AC16" s="7">
        <v>11000</v>
      </c>
    </row>
    <row r="17" spans="1:29" x14ac:dyDescent="0.4">
      <c r="A17" s="8">
        <v>207</v>
      </c>
      <c r="B17" s="17">
        <v>300</v>
      </c>
      <c r="C17" s="7">
        <v>10000000</v>
      </c>
      <c r="D17" s="17">
        <v>123</v>
      </c>
      <c r="E17" s="7">
        <v>1000000</v>
      </c>
      <c r="G17" s="8">
        <v>208</v>
      </c>
      <c r="H17" s="7">
        <v>1624200</v>
      </c>
      <c r="I17" s="7">
        <v>1744200</v>
      </c>
      <c r="K17" s="13" t="s">
        <v>55</v>
      </c>
      <c r="L17" s="14">
        <v>2</v>
      </c>
      <c r="M17" s="14">
        <v>1</v>
      </c>
      <c r="N17" s="14">
        <v>3</v>
      </c>
      <c r="O17" s="14">
        <v>5</v>
      </c>
      <c r="P17" s="14">
        <v>3</v>
      </c>
      <c r="Q17" s="14"/>
      <c r="R17" s="14">
        <v>14</v>
      </c>
      <c r="T17" s="22" t="s">
        <v>59</v>
      </c>
      <c r="U17" s="7">
        <v>1000000</v>
      </c>
      <c r="V17" s="7">
        <v>1000</v>
      </c>
      <c r="W17" s="7">
        <v>1000</v>
      </c>
      <c r="X17" s="7">
        <v>10000000</v>
      </c>
      <c r="Y17" s="7">
        <v>50000</v>
      </c>
      <c r="Z17" s="7">
        <v>10000</v>
      </c>
      <c r="AA17" s="7">
        <v>11000000</v>
      </c>
      <c r="AB17" s="7">
        <v>51000</v>
      </c>
      <c r="AC17" s="7">
        <v>11000</v>
      </c>
    </row>
    <row r="18" spans="1:29" x14ac:dyDescent="0.4">
      <c r="A18" s="13" t="s">
        <v>55</v>
      </c>
      <c r="B18" s="17">
        <v>300</v>
      </c>
      <c r="C18" s="7">
        <v>10000000</v>
      </c>
      <c r="D18" s="17">
        <v>123</v>
      </c>
      <c r="E18" s="7">
        <v>1000000</v>
      </c>
      <c r="G18" s="13" t="s">
        <v>57</v>
      </c>
      <c r="H18" s="7">
        <v>1624200</v>
      </c>
      <c r="I18" s="7">
        <v>1744200</v>
      </c>
      <c r="K18" s="8">
        <v>208</v>
      </c>
      <c r="L18" s="14">
        <v>2</v>
      </c>
      <c r="M18" s="14">
        <v>1</v>
      </c>
      <c r="N18" s="14">
        <v>3</v>
      </c>
      <c r="O18" s="14">
        <v>5</v>
      </c>
      <c r="P18" s="14">
        <v>3</v>
      </c>
      <c r="Q18" s="14"/>
      <c r="R18" s="14">
        <v>14</v>
      </c>
      <c r="T18" s="21">
        <v>207</v>
      </c>
      <c r="U18" s="7">
        <v>10000000</v>
      </c>
      <c r="V18" s="7">
        <v>50000</v>
      </c>
      <c r="W18" s="7">
        <v>10000</v>
      </c>
      <c r="X18" s="7">
        <v>1000000</v>
      </c>
      <c r="Y18" s="7">
        <v>1000</v>
      </c>
      <c r="Z18" s="7">
        <v>1000</v>
      </c>
      <c r="AA18" s="7">
        <v>11000000</v>
      </c>
      <c r="AB18" s="7">
        <v>51000</v>
      </c>
      <c r="AC18" s="7">
        <v>11000</v>
      </c>
    </row>
    <row r="19" spans="1:29" x14ac:dyDescent="0.4">
      <c r="A19" s="8">
        <v>208</v>
      </c>
      <c r="B19" s="17">
        <v>300</v>
      </c>
      <c r="C19" s="7">
        <v>10000000</v>
      </c>
      <c r="D19" s="17">
        <v>123</v>
      </c>
      <c r="E19" s="7">
        <v>1000000</v>
      </c>
      <c r="G19" s="8">
        <v>301</v>
      </c>
      <c r="H19" s="7">
        <v>303000</v>
      </c>
      <c r="I19" s="7">
        <v>303000</v>
      </c>
      <c r="K19" s="13" t="s">
        <v>57</v>
      </c>
      <c r="L19" s="14">
        <v>2</v>
      </c>
      <c r="M19" s="14">
        <v>1</v>
      </c>
      <c r="N19" s="14">
        <v>3</v>
      </c>
      <c r="O19" s="14">
        <v>5</v>
      </c>
      <c r="P19" s="14">
        <v>3</v>
      </c>
      <c r="Q19" s="14"/>
      <c r="R19" s="14">
        <v>14</v>
      </c>
      <c r="T19" s="22" t="s">
        <v>55</v>
      </c>
      <c r="U19" s="7">
        <v>10000000</v>
      </c>
      <c r="V19" s="7">
        <v>50000</v>
      </c>
      <c r="W19" s="7">
        <v>10000</v>
      </c>
      <c r="X19" s="7">
        <v>1000000</v>
      </c>
      <c r="Y19" s="7">
        <v>1000</v>
      </c>
      <c r="Z19" s="7">
        <v>1000</v>
      </c>
      <c r="AA19" s="7">
        <v>11000000</v>
      </c>
      <c r="AB19" s="7">
        <v>51000</v>
      </c>
      <c r="AC19" s="7">
        <v>11000</v>
      </c>
    </row>
    <row r="20" spans="1:29" x14ac:dyDescent="0.4">
      <c r="A20" s="13" t="s">
        <v>57</v>
      </c>
      <c r="B20" s="17">
        <v>300</v>
      </c>
      <c r="C20" s="7">
        <v>10000000</v>
      </c>
      <c r="D20" s="17">
        <v>123</v>
      </c>
      <c r="E20" s="7">
        <v>1000000</v>
      </c>
      <c r="G20" s="13" t="s">
        <v>20</v>
      </c>
      <c r="H20" s="7">
        <v>303000</v>
      </c>
      <c r="I20" s="7">
        <v>303000</v>
      </c>
      <c r="K20" s="8">
        <v>301</v>
      </c>
      <c r="L20" s="14"/>
      <c r="M20" s="14"/>
      <c r="N20" s="14"/>
      <c r="O20" s="14">
        <v>1</v>
      </c>
      <c r="P20" s="14"/>
      <c r="Q20" s="14"/>
      <c r="R20" s="14">
        <v>1</v>
      </c>
      <c r="T20" s="21">
        <v>208</v>
      </c>
      <c r="U20" s="7">
        <v>10000000</v>
      </c>
      <c r="V20" s="7">
        <v>50000</v>
      </c>
      <c r="W20" s="7">
        <v>10000</v>
      </c>
      <c r="X20" s="7">
        <v>1000000</v>
      </c>
      <c r="Y20" s="7">
        <v>1000</v>
      </c>
      <c r="Z20" s="7">
        <v>1000</v>
      </c>
      <c r="AA20" s="7">
        <v>11000000</v>
      </c>
      <c r="AB20" s="7">
        <v>51000</v>
      </c>
      <c r="AC20" s="7">
        <v>11000</v>
      </c>
    </row>
    <row r="21" spans="1:29" x14ac:dyDescent="0.4">
      <c r="A21" s="8">
        <v>301</v>
      </c>
      <c r="B21" s="17">
        <v>4000</v>
      </c>
      <c r="C21" s="7">
        <v>10000000</v>
      </c>
      <c r="D21" s="17">
        <v>5000</v>
      </c>
      <c r="E21" s="7">
        <v>1000000</v>
      </c>
      <c r="G21" s="8">
        <v>302</v>
      </c>
      <c r="H21" s="7">
        <v>305000</v>
      </c>
      <c r="I21" s="7">
        <v>305000</v>
      </c>
      <c r="K21" s="13" t="s">
        <v>20</v>
      </c>
      <c r="L21" s="14"/>
      <c r="M21" s="14"/>
      <c r="N21" s="14"/>
      <c r="O21" s="14">
        <v>1</v>
      </c>
      <c r="P21" s="14"/>
      <c r="Q21" s="14"/>
      <c r="R21" s="14">
        <v>1</v>
      </c>
      <c r="T21" s="22" t="s">
        <v>57</v>
      </c>
      <c r="U21" s="7">
        <v>10000000</v>
      </c>
      <c r="V21" s="7">
        <v>50000</v>
      </c>
      <c r="W21" s="7">
        <v>10000</v>
      </c>
      <c r="X21" s="7">
        <v>1000000</v>
      </c>
      <c r="Y21" s="7">
        <v>1000</v>
      </c>
      <c r="Z21" s="7">
        <v>1000</v>
      </c>
      <c r="AA21" s="7">
        <v>11000000</v>
      </c>
      <c r="AB21" s="7">
        <v>51000</v>
      </c>
      <c r="AC21" s="7">
        <v>11000</v>
      </c>
    </row>
    <row r="22" spans="1:29" x14ac:dyDescent="0.4">
      <c r="A22" s="13" t="s">
        <v>20</v>
      </c>
      <c r="B22" s="17">
        <v>4000</v>
      </c>
      <c r="C22" s="7">
        <v>10000000</v>
      </c>
      <c r="D22" s="17">
        <v>5000</v>
      </c>
      <c r="E22" s="7">
        <v>1000000</v>
      </c>
      <c r="G22" s="13" t="s">
        <v>22</v>
      </c>
      <c r="H22" s="7">
        <v>305000</v>
      </c>
      <c r="I22" s="7">
        <v>305000</v>
      </c>
      <c r="K22" s="8">
        <v>302</v>
      </c>
      <c r="L22" s="14"/>
      <c r="M22" s="14"/>
      <c r="N22" s="14"/>
      <c r="O22" s="14">
        <v>1</v>
      </c>
      <c r="P22" s="14"/>
      <c r="Q22" s="14"/>
      <c r="R22" s="14">
        <v>1</v>
      </c>
      <c r="T22" s="21">
        <v>301</v>
      </c>
      <c r="U22" s="7">
        <v>10000000</v>
      </c>
      <c r="V22" s="7">
        <v>50000</v>
      </c>
      <c r="W22" s="7">
        <v>10000</v>
      </c>
      <c r="X22" s="7">
        <v>1000000</v>
      </c>
      <c r="Y22" s="7">
        <v>1000</v>
      </c>
      <c r="Z22" s="7">
        <v>1000</v>
      </c>
      <c r="AA22" s="7">
        <v>11000000</v>
      </c>
      <c r="AB22" s="7">
        <v>51000</v>
      </c>
      <c r="AC22" s="7">
        <v>11000</v>
      </c>
    </row>
    <row r="23" spans="1:29" x14ac:dyDescent="0.4">
      <c r="A23" s="8">
        <v>302</v>
      </c>
      <c r="B23" s="17">
        <v>4000</v>
      </c>
      <c r="C23" s="7">
        <v>10000000</v>
      </c>
      <c r="D23" s="17">
        <v>5000</v>
      </c>
      <c r="E23" s="7">
        <v>1000000</v>
      </c>
      <c r="G23" s="8">
        <v>303</v>
      </c>
      <c r="H23" s="7">
        <v>305000</v>
      </c>
      <c r="I23" s="7">
        <v>305000</v>
      </c>
      <c r="K23" s="13" t="s">
        <v>22</v>
      </c>
      <c r="L23" s="14"/>
      <c r="M23" s="14"/>
      <c r="N23" s="14"/>
      <c r="O23" s="14">
        <v>1</v>
      </c>
      <c r="P23" s="14"/>
      <c r="Q23" s="14"/>
      <c r="R23" s="14">
        <v>1</v>
      </c>
      <c r="T23" s="22" t="s">
        <v>20</v>
      </c>
      <c r="U23" s="7">
        <v>10000000</v>
      </c>
      <c r="V23" s="7">
        <v>50000</v>
      </c>
      <c r="W23" s="7">
        <v>10000</v>
      </c>
      <c r="X23" s="7">
        <v>1000000</v>
      </c>
      <c r="Y23" s="7">
        <v>1000</v>
      </c>
      <c r="Z23" s="7">
        <v>1000</v>
      </c>
      <c r="AA23" s="7">
        <v>11000000</v>
      </c>
      <c r="AB23" s="7">
        <v>51000</v>
      </c>
      <c r="AC23" s="7">
        <v>11000</v>
      </c>
    </row>
    <row r="24" spans="1:29" x14ac:dyDescent="0.4">
      <c r="A24" s="13" t="s">
        <v>22</v>
      </c>
      <c r="B24" s="17">
        <v>4000</v>
      </c>
      <c r="C24" s="7">
        <v>10000000</v>
      </c>
      <c r="D24" s="17">
        <v>5000</v>
      </c>
      <c r="E24" s="7">
        <v>1000000</v>
      </c>
      <c r="G24" s="13" t="s">
        <v>226</v>
      </c>
      <c r="H24" s="7">
        <v>305000</v>
      </c>
      <c r="I24" s="7">
        <v>305000</v>
      </c>
      <c r="K24" s="8">
        <v>303</v>
      </c>
      <c r="L24" s="14"/>
      <c r="M24" s="14"/>
      <c r="N24" s="14"/>
      <c r="O24" s="14">
        <v>1</v>
      </c>
      <c r="P24" s="14"/>
      <c r="Q24" s="14"/>
      <c r="R24" s="14">
        <v>1</v>
      </c>
      <c r="T24" s="21">
        <v>302</v>
      </c>
      <c r="U24" s="7">
        <v>10000000</v>
      </c>
      <c r="V24" s="7">
        <v>50000</v>
      </c>
      <c r="W24" s="7">
        <v>10000</v>
      </c>
      <c r="X24" s="7">
        <v>1000000</v>
      </c>
      <c r="Y24" s="7">
        <v>1000</v>
      </c>
      <c r="Z24" s="7">
        <v>1000</v>
      </c>
      <c r="AA24" s="7">
        <v>11000000</v>
      </c>
      <c r="AB24" s="7">
        <v>51000</v>
      </c>
      <c r="AC24" s="7">
        <v>11000</v>
      </c>
    </row>
    <row r="25" spans="1:29" x14ac:dyDescent="0.4">
      <c r="A25" s="8">
        <v>303</v>
      </c>
      <c r="B25" s="17">
        <v>4000</v>
      </c>
      <c r="C25" s="7">
        <v>10000000</v>
      </c>
      <c r="D25" s="17">
        <v>5000</v>
      </c>
      <c r="E25" s="7">
        <v>1000000</v>
      </c>
      <c r="G25" s="8">
        <v>304</v>
      </c>
      <c r="H25" s="7">
        <v>305000</v>
      </c>
      <c r="I25" s="7">
        <v>305000</v>
      </c>
      <c r="K25" s="13" t="s">
        <v>226</v>
      </c>
      <c r="L25" s="14"/>
      <c r="M25" s="14"/>
      <c r="N25" s="14"/>
      <c r="O25" s="14">
        <v>1</v>
      </c>
      <c r="P25" s="14"/>
      <c r="Q25" s="14"/>
      <c r="R25" s="14">
        <v>1</v>
      </c>
      <c r="T25" s="22" t="s">
        <v>22</v>
      </c>
      <c r="U25" s="7">
        <v>10000000</v>
      </c>
      <c r="V25" s="7">
        <v>50000</v>
      </c>
      <c r="W25" s="7">
        <v>10000</v>
      </c>
      <c r="X25" s="7">
        <v>1000000</v>
      </c>
      <c r="Y25" s="7">
        <v>1000</v>
      </c>
      <c r="Z25" s="7">
        <v>1000</v>
      </c>
      <c r="AA25" s="7">
        <v>11000000</v>
      </c>
      <c r="AB25" s="7">
        <v>51000</v>
      </c>
      <c r="AC25" s="7">
        <v>11000</v>
      </c>
    </row>
    <row r="26" spans="1:29" x14ac:dyDescent="0.4">
      <c r="A26" s="13" t="s">
        <v>226</v>
      </c>
      <c r="B26" s="17">
        <v>4000</v>
      </c>
      <c r="C26" s="7">
        <v>10000000</v>
      </c>
      <c r="D26" s="17">
        <v>5000</v>
      </c>
      <c r="E26" s="7">
        <v>1000000</v>
      </c>
      <c r="G26" s="13" t="s">
        <v>228</v>
      </c>
      <c r="H26" s="7">
        <v>305000</v>
      </c>
      <c r="I26" s="7">
        <v>305000</v>
      </c>
      <c r="K26" s="8">
        <v>304</v>
      </c>
      <c r="L26" s="14"/>
      <c r="M26" s="14"/>
      <c r="N26" s="14"/>
      <c r="O26" s="14">
        <v>1</v>
      </c>
      <c r="P26" s="14"/>
      <c r="Q26" s="14"/>
      <c r="R26" s="14">
        <v>1</v>
      </c>
      <c r="T26" s="21">
        <v>303</v>
      </c>
      <c r="U26" s="7">
        <v>10000000</v>
      </c>
      <c r="V26" s="7">
        <v>50000</v>
      </c>
      <c r="W26" s="7">
        <v>10000</v>
      </c>
      <c r="X26" s="7">
        <v>1000000</v>
      </c>
      <c r="Y26" s="7">
        <v>1000</v>
      </c>
      <c r="Z26" s="7">
        <v>1000</v>
      </c>
      <c r="AA26" s="7">
        <v>11000000</v>
      </c>
      <c r="AB26" s="7">
        <v>51000</v>
      </c>
      <c r="AC26" s="7">
        <v>11000</v>
      </c>
    </row>
    <row r="27" spans="1:29" x14ac:dyDescent="0.4">
      <c r="A27" s="8">
        <v>304</v>
      </c>
      <c r="B27" s="17">
        <v>4000</v>
      </c>
      <c r="C27" s="7">
        <v>10000000</v>
      </c>
      <c r="D27" s="17">
        <v>5000</v>
      </c>
      <c r="E27" s="7">
        <v>1000000</v>
      </c>
      <c r="G27" s="8">
        <v>305</v>
      </c>
      <c r="H27" s="7">
        <v>305000</v>
      </c>
      <c r="I27" s="7">
        <v>305000</v>
      </c>
      <c r="K27" s="13" t="s">
        <v>228</v>
      </c>
      <c r="L27" s="14"/>
      <c r="M27" s="14"/>
      <c r="N27" s="14"/>
      <c r="O27" s="14">
        <v>1</v>
      </c>
      <c r="P27" s="14"/>
      <c r="Q27" s="14"/>
      <c r="R27" s="14">
        <v>1</v>
      </c>
      <c r="T27" s="22" t="s">
        <v>226</v>
      </c>
      <c r="U27" s="7">
        <v>10000000</v>
      </c>
      <c r="V27" s="7">
        <v>50000</v>
      </c>
      <c r="W27" s="7">
        <v>10000</v>
      </c>
      <c r="X27" s="7">
        <v>1000000</v>
      </c>
      <c r="Y27" s="7">
        <v>1000</v>
      </c>
      <c r="Z27" s="7">
        <v>1000</v>
      </c>
      <c r="AA27" s="7">
        <v>11000000</v>
      </c>
      <c r="AB27" s="7">
        <v>51000</v>
      </c>
      <c r="AC27" s="7">
        <v>11000</v>
      </c>
    </row>
    <row r="28" spans="1:29" x14ac:dyDescent="0.4">
      <c r="A28" s="13" t="s">
        <v>228</v>
      </c>
      <c r="B28" s="17">
        <v>4000</v>
      </c>
      <c r="C28" s="7">
        <v>10000000</v>
      </c>
      <c r="D28" s="17">
        <v>5000</v>
      </c>
      <c r="E28" s="7">
        <v>1000000</v>
      </c>
      <c r="G28" s="13" t="s">
        <v>230</v>
      </c>
      <c r="H28" s="7">
        <v>305000</v>
      </c>
      <c r="I28" s="7">
        <v>305000</v>
      </c>
      <c r="K28" s="8">
        <v>305</v>
      </c>
      <c r="L28" s="14"/>
      <c r="M28" s="14"/>
      <c r="N28" s="14"/>
      <c r="O28" s="14">
        <v>1</v>
      </c>
      <c r="P28" s="14"/>
      <c r="Q28" s="14"/>
      <c r="R28" s="14">
        <v>1</v>
      </c>
      <c r="T28" s="21">
        <v>304</v>
      </c>
      <c r="U28" s="7">
        <v>10000000</v>
      </c>
      <c r="V28" s="7">
        <v>50000</v>
      </c>
      <c r="W28" s="7">
        <v>10000</v>
      </c>
      <c r="X28" s="7">
        <v>1000000</v>
      </c>
      <c r="Y28" s="7">
        <v>1000</v>
      </c>
      <c r="Z28" s="7">
        <v>1000</v>
      </c>
      <c r="AA28" s="7">
        <v>11000000</v>
      </c>
      <c r="AB28" s="7">
        <v>51000</v>
      </c>
      <c r="AC28" s="7">
        <v>11000</v>
      </c>
    </row>
    <row r="29" spans="1:29" x14ac:dyDescent="0.4">
      <c r="A29" s="8">
        <v>305</v>
      </c>
      <c r="B29" s="17">
        <v>4000</v>
      </c>
      <c r="C29" s="7">
        <v>10000000</v>
      </c>
      <c r="D29" s="17">
        <v>5000</v>
      </c>
      <c r="E29" s="7">
        <v>1000000</v>
      </c>
      <c r="G29" s="8">
        <v>306</v>
      </c>
      <c r="H29" s="7">
        <v>0</v>
      </c>
      <c r="I29" s="7">
        <v>350000</v>
      </c>
      <c r="K29" s="13" t="s">
        <v>230</v>
      </c>
      <c r="L29" s="14"/>
      <c r="M29" s="14"/>
      <c r="N29" s="14"/>
      <c r="O29" s="14">
        <v>1</v>
      </c>
      <c r="P29" s="14"/>
      <c r="Q29" s="14"/>
      <c r="R29" s="14">
        <v>1</v>
      </c>
      <c r="T29" s="22" t="s">
        <v>228</v>
      </c>
      <c r="U29" s="7">
        <v>10000000</v>
      </c>
      <c r="V29" s="7">
        <v>50000</v>
      </c>
      <c r="W29" s="7">
        <v>10000</v>
      </c>
      <c r="X29" s="7">
        <v>1000000</v>
      </c>
      <c r="Y29" s="7">
        <v>1000</v>
      </c>
      <c r="Z29" s="7">
        <v>1000</v>
      </c>
      <c r="AA29" s="7">
        <v>11000000</v>
      </c>
      <c r="AB29" s="7">
        <v>51000</v>
      </c>
      <c r="AC29" s="7">
        <v>11000</v>
      </c>
    </row>
    <row r="30" spans="1:29" x14ac:dyDescent="0.4">
      <c r="A30" s="13" t="s">
        <v>230</v>
      </c>
      <c r="B30" s="17">
        <v>4000</v>
      </c>
      <c r="C30" s="7">
        <v>10000000</v>
      </c>
      <c r="D30" s="17">
        <v>5000</v>
      </c>
      <c r="E30" s="7">
        <v>1000000</v>
      </c>
      <c r="G30" s="13" t="s">
        <v>342</v>
      </c>
      <c r="H30" s="7">
        <v>0</v>
      </c>
      <c r="I30" s="7">
        <v>350000</v>
      </c>
      <c r="K30" s="8">
        <v>306</v>
      </c>
      <c r="L30" s="14"/>
      <c r="M30" s="14"/>
      <c r="N30" s="14"/>
      <c r="O30" s="14">
        <v>1</v>
      </c>
      <c r="P30" s="14">
        <v>1</v>
      </c>
      <c r="Q30" s="14"/>
      <c r="R30" s="14">
        <v>2</v>
      </c>
      <c r="T30" s="21">
        <v>305</v>
      </c>
      <c r="U30" s="7">
        <v>10000000</v>
      </c>
      <c r="V30" s="7">
        <v>50000</v>
      </c>
      <c r="W30" s="7">
        <v>10000</v>
      </c>
      <c r="X30" s="7">
        <v>1000000</v>
      </c>
      <c r="Y30" s="7">
        <v>1000</v>
      </c>
      <c r="Z30" s="7">
        <v>1000</v>
      </c>
      <c r="AA30" s="7">
        <v>11000000</v>
      </c>
      <c r="AB30" s="7">
        <v>51000</v>
      </c>
      <c r="AC30" s="7">
        <v>11000</v>
      </c>
    </row>
    <row r="31" spans="1:29" x14ac:dyDescent="0.4">
      <c r="A31" s="8">
        <v>306</v>
      </c>
      <c r="B31" s="17">
        <v>4000</v>
      </c>
      <c r="C31" s="7">
        <v>10000000</v>
      </c>
      <c r="D31" s="17">
        <v>5000</v>
      </c>
      <c r="E31" s="7">
        <v>1000000</v>
      </c>
      <c r="G31" s="8" t="s">
        <v>445</v>
      </c>
      <c r="H31" s="7"/>
      <c r="I31" s="7"/>
      <c r="K31" s="13" t="s">
        <v>342</v>
      </c>
      <c r="L31" s="14"/>
      <c r="M31" s="14"/>
      <c r="N31" s="14"/>
      <c r="O31" s="14">
        <v>1</v>
      </c>
      <c r="P31" s="14">
        <v>1</v>
      </c>
      <c r="Q31" s="14"/>
      <c r="R31" s="14">
        <v>2</v>
      </c>
      <c r="T31" s="22" t="s">
        <v>230</v>
      </c>
      <c r="U31" s="7">
        <v>10000000</v>
      </c>
      <c r="V31" s="7">
        <v>50000</v>
      </c>
      <c r="W31" s="7">
        <v>10000</v>
      </c>
      <c r="X31" s="7">
        <v>1000000</v>
      </c>
      <c r="Y31" s="7">
        <v>1000</v>
      </c>
      <c r="Z31" s="7">
        <v>1000</v>
      </c>
      <c r="AA31" s="7">
        <v>11000000</v>
      </c>
      <c r="AB31" s="7">
        <v>51000</v>
      </c>
      <c r="AC31" s="7">
        <v>11000</v>
      </c>
    </row>
    <row r="32" spans="1:29" x14ac:dyDescent="0.4">
      <c r="A32" s="13" t="s">
        <v>342</v>
      </c>
      <c r="B32" s="17">
        <v>4000</v>
      </c>
      <c r="C32" s="7">
        <v>10000000</v>
      </c>
      <c r="D32" s="17">
        <v>5000</v>
      </c>
      <c r="E32" s="7">
        <v>1000000</v>
      </c>
      <c r="G32" s="13" t="s">
        <v>445</v>
      </c>
      <c r="H32" s="7"/>
      <c r="I32" s="7"/>
      <c r="K32" s="8" t="s">
        <v>445</v>
      </c>
      <c r="L32" s="14"/>
      <c r="M32" s="14"/>
      <c r="N32" s="14"/>
      <c r="O32" s="14"/>
      <c r="P32" s="14"/>
      <c r="Q32" s="14"/>
      <c r="R32" s="14"/>
      <c r="T32" s="21">
        <v>306</v>
      </c>
      <c r="U32" s="7">
        <v>10000000</v>
      </c>
      <c r="V32" s="7">
        <v>50000</v>
      </c>
      <c r="W32" s="7">
        <v>10000</v>
      </c>
      <c r="X32" s="7">
        <v>1000000</v>
      </c>
      <c r="Y32" s="7">
        <v>1000</v>
      </c>
      <c r="Z32" s="7">
        <v>1000</v>
      </c>
      <c r="AA32" s="7">
        <v>11000000</v>
      </c>
      <c r="AB32" s="7">
        <v>51000</v>
      </c>
      <c r="AC32" s="7">
        <v>11000</v>
      </c>
    </row>
    <row r="33" spans="1:29" x14ac:dyDescent="0.4">
      <c r="A33" s="8" t="s">
        <v>356</v>
      </c>
      <c r="B33" s="14">
        <v>26300</v>
      </c>
      <c r="C33" s="14">
        <v>131000000</v>
      </c>
      <c r="D33" s="14">
        <v>31014</v>
      </c>
      <c r="E33" s="14">
        <v>34000000</v>
      </c>
      <c r="G33" s="8" t="s">
        <v>356</v>
      </c>
      <c r="H33" s="7">
        <v>14549000</v>
      </c>
      <c r="I33" s="7">
        <v>15859000</v>
      </c>
      <c r="K33" s="13" t="s">
        <v>445</v>
      </c>
      <c r="L33" s="14"/>
      <c r="M33" s="14"/>
      <c r="N33" s="14"/>
      <c r="O33" s="14"/>
      <c r="P33" s="14"/>
      <c r="Q33" s="14"/>
      <c r="R33" s="14"/>
      <c r="T33" s="22" t="s">
        <v>342</v>
      </c>
      <c r="U33" s="7">
        <v>10000000</v>
      </c>
      <c r="V33" s="7">
        <v>50000</v>
      </c>
      <c r="W33" s="7">
        <v>10000</v>
      </c>
      <c r="X33" s="7">
        <v>1000000</v>
      </c>
      <c r="Y33" s="7">
        <v>1000</v>
      </c>
      <c r="Z33" s="7">
        <v>1000</v>
      </c>
      <c r="AA33" s="7">
        <v>11000000</v>
      </c>
      <c r="AB33" s="7">
        <v>51000</v>
      </c>
      <c r="AC33" s="7">
        <v>11000</v>
      </c>
    </row>
    <row r="34" spans="1:29" x14ac:dyDescent="0.4">
      <c r="K34" s="8" t="s">
        <v>356</v>
      </c>
      <c r="L34" s="14">
        <v>16</v>
      </c>
      <c r="M34" s="14">
        <v>9</v>
      </c>
      <c r="N34" s="14">
        <v>24</v>
      </c>
      <c r="O34" s="14">
        <v>46</v>
      </c>
      <c r="P34" s="14">
        <v>25</v>
      </c>
      <c r="Q34" s="14"/>
      <c r="R34" s="14">
        <v>120</v>
      </c>
      <c r="T34" s="21" t="s">
        <v>356</v>
      </c>
      <c r="U34" s="7">
        <v>131000000</v>
      </c>
      <c r="V34" s="7">
        <v>651000</v>
      </c>
      <c r="W34" s="7">
        <v>131000</v>
      </c>
      <c r="X34" s="7">
        <v>34000000</v>
      </c>
      <c r="Y34" s="7">
        <v>114000</v>
      </c>
      <c r="Z34" s="7">
        <v>34000</v>
      </c>
      <c r="AA34" s="7">
        <v>165000000</v>
      </c>
      <c r="AB34" s="7">
        <v>765000</v>
      </c>
      <c r="AC34" s="7">
        <v>165000</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FCC6-2A0D-46C8-87AB-1E43CE06DDE4}">
  <sheetPr>
    <pageSetUpPr fitToPage="1"/>
  </sheetPr>
  <dimension ref="A1:H97"/>
  <sheetViews>
    <sheetView view="pageBreakPreview" zoomScaleNormal="100" zoomScaleSheetLayoutView="100" workbookViewId="0">
      <selection sqref="A1:C1"/>
    </sheetView>
  </sheetViews>
  <sheetFormatPr defaultRowHeight="18.75" x14ac:dyDescent="0.4"/>
  <cols>
    <col min="1" max="1" width="27.25" customWidth="1"/>
    <col min="2" max="2" width="15.375" customWidth="1"/>
    <col min="3" max="8" width="16.625" customWidth="1"/>
  </cols>
  <sheetData>
    <row r="1" spans="1:8" ht="33" x14ac:dyDescent="0.4">
      <c r="A1" s="439" t="s">
        <v>741</v>
      </c>
      <c r="B1" s="439"/>
      <c r="C1" s="439"/>
    </row>
    <row r="2" spans="1:8" x14ac:dyDescent="0.4">
      <c r="A2" s="62" t="s">
        <v>646</v>
      </c>
      <c r="B2" s="62"/>
      <c r="C2" s="62" t="s">
        <v>631</v>
      </c>
      <c r="D2" s="62"/>
      <c r="E2" s="62"/>
      <c r="F2" s="62"/>
      <c r="G2" s="62"/>
      <c r="H2" s="62"/>
    </row>
    <row r="3" spans="1:8" ht="36.75" customHeight="1" x14ac:dyDescent="0.4">
      <c r="A3" s="63" t="s">
        <v>563</v>
      </c>
      <c r="B3" s="63" t="s">
        <v>356</v>
      </c>
      <c r="C3" s="64" t="s">
        <v>633</v>
      </c>
      <c r="D3" s="65" t="s">
        <v>635</v>
      </c>
      <c r="E3" s="65" t="s">
        <v>639</v>
      </c>
      <c r="F3" s="65" t="s">
        <v>637</v>
      </c>
      <c r="G3" s="65" t="s">
        <v>641</v>
      </c>
      <c r="H3" s="65" t="s">
        <v>643</v>
      </c>
    </row>
    <row r="4" spans="1:8" x14ac:dyDescent="0.4">
      <c r="A4" s="55" t="s">
        <v>647</v>
      </c>
      <c r="B4" s="66"/>
      <c r="C4" s="7"/>
      <c r="D4" s="7"/>
      <c r="E4" s="7"/>
      <c r="F4" s="7"/>
      <c r="G4" s="7"/>
      <c r="H4" s="7"/>
    </row>
    <row r="5" spans="1:8" x14ac:dyDescent="0.4">
      <c r="A5" s="55" t="s">
        <v>648</v>
      </c>
      <c r="B5" s="66">
        <v>999999</v>
      </c>
      <c r="C5" s="7">
        <v>999999</v>
      </c>
      <c r="D5" s="7">
        <v>999999</v>
      </c>
      <c r="E5" s="7">
        <v>999999</v>
      </c>
      <c r="F5" s="7">
        <v>999999</v>
      </c>
      <c r="G5" s="7">
        <v>999999</v>
      </c>
      <c r="H5" s="7">
        <v>999999</v>
      </c>
    </row>
    <row r="6" spans="1:8" x14ac:dyDescent="0.4">
      <c r="A6" s="55" t="s">
        <v>649</v>
      </c>
      <c r="B6" s="66">
        <v>999999</v>
      </c>
      <c r="C6" s="7">
        <v>999999</v>
      </c>
      <c r="D6" s="7">
        <v>999999</v>
      </c>
      <c r="E6" s="7">
        <v>999999</v>
      </c>
      <c r="F6" s="7">
        <v>999999</v>
      </c>
      <c r="G6" s="7">
        <v>999999</v>
      </c>
      <c r="H6" s="7">
        <v>999999</v>
      </c>
    </row>
    <row r="7" spans="1:8" x14ac:dyDescent="0.4">
      <c r="A7" s="55" t="s">
        <v>650</v>
      </c>
      <c r="B7" s="66">
        <v>999999</v>
      </c>
      <c r="C7" s="7">
        <v>999999</v>
      </c>
      <c r="D7" s="7">
        <v>999999</v>
      </c>
      <c r="E7" s="7">
        <v>999999</v>
      </c>
      <c r="F7" s="7">
        <v>999999</v>
      </c>
      <c r="G7" s="7">
        <v>999999</v>
      </c>
      <c r="H7" s="7">
        <v>999999</v>
      </c>
    </row>
    <row r="8" spans="1:8" x14ac:dyDescent="0.4">
      <c r="A8" s="55" t="s">
        <v>651</v>
      </c>
      <c r="B8" s="66">
        <v>999999</v>
      </c>
      <c r="C8" s="7">
        <v>999999</v>
      </c>
      <c r="D8" s="7">
        <v>999999</v>
      </c>
      <c r="E8" s="7">
        <v>999999</v>
      </c>
      <c r="F8" s="7">
        <v>999999</v>
      </c>
      <c r="G8" s="7">
        <v>999999</v>
      </c>
      <c r="H8" s="7">
        <v>999999</v>
      </c>
    </row>
    <row r="9" spans="1:8" x14ac:dyDescent="0.4">
      <c r="A9" s="55" t="s">
        <v>652</v>
      </c>
      <c r="B9" s="66"/>
      <c r="C9" s="7"/>
      <c r="D9" s="7"/>
      <c r="E9" s="7"/>
      <c r="F9" s="7"/>
      <c r="G9" s="7"/>
      <c r="H9" s="7"/>
    </row>
    <row r="10" spans="1:8" x14ac:dyDescent="0.4">
      <c r="A10" s="55" t="s">
        <v>653</v>
      </c>
      <c r="B10" s="66">
        <v>999999</v>
      </c>
      <c r="C10" s="7">
        <v>999999</v>
      </c>
      <c r="D10" s="7">
        <v>999999</v>
      </c>
      <c r="E10" s="7">
        <v>999999</v>
      </c>
      <c r="F10" s="7">
        <v>999999</v>
      </c>
      <c r="G10" s="7">
        <v>999999</v>
      </c>
      <c r="H10" s="7">
        <v>999999</v>
      </c>
    </row>
    <row r="11" spans="1:8" x14ac:dyDescent="0.4">
      <c r="A11" s="55" t="s">
        <v>654</v>
      </c>
      <c r="B11" s="66">
        <v>999999</v>
      </c>
      <c r="C11" s="7">
        <v>999999</v>
      </c>
      <c r="D11" s="7">
        <v>999999</v>
      </c>
      <c r="E11" s="7">
        <v>999999</v>
      </c>
      <c r="F11" s="7">
        <v>999999</v>
      </c>
      <c r="G11" s="7">
        <v>999999</v>
      </c>
      <c r="H11" s="7">
        <v>999999</v>
      </c>
    </row>
    <row r="12" spans="1:8" x14ac:dyDescent="0.4">
      <c r="A12" s="55" t="s">
        <v>655</v>
      </c>
      <c r="B12" s="66"/>
      <c r="C12" s="7"/>
      <c r="D12" s="7"/>
      <c r="E12" s="7"/>
      <c r="F12" s="7"/>
      <c r="G12" s="7"/>
      <c r="H12" s="7"/>
    </row>
    <row r="13" spans="1:8" x14ac:dyDescent="0.4">
      <c r="A13" s="55" t="s">
        <v>656</v>
      </c>
      <c r="B13" s="66">
        <v>999999</v>
      </c>
      <c r="C13" s="7">
        <v>999999</v>
      </c>
      <c r="D13" s="7">
        <v>999999</v>
      </c>
      <c r="E13" s="7">
        <v>999999</v>
      </c>
      <c r="F13" s="7">
        <v>999999</v>
      </c>
      <c r="G13" s="7">
        <v>999999</v>
      </c>
      <c r="H13" s="7">
        <v>999999</v>
      </c>
    </row>
    <row r="14" spans="1:8" x14ac:dyDescent="0.4">
      <c r="A14" s="55" t="s">
        <v>657</v>
      </c>
      <c r="B14" s="66"/>
      <c r="C14" s="7"/>
      <c r="D14" s="7"/>
      <c r="E14" s="7"/>
      <c r="F14" s="7"/>
      <c r="G14" s="7"/>
      <c r="H14" s="7"/>
    </row>
    <row r="15" spans="1:8" x14ac:dyDescent="0.4">
      <c r="A15" s="55" t="s">
        <v>658</v>
      </c>
      <c r="B15" s="66">
        <v>999999</v>
      </c>
      <c r="C15" s="7">
        <v>999999</v>
      </c>
      <c r="D15" s="7">
        <v>999999</v>
      </c>
      <c r="E15" s="7">
        <v>999999</v>
      </c>
      <c r="F15" s="7">
        <v>999999</v>
      </c>
      <c r="G15" s="7">
        <v>999999</v>
      </c>
      <c r="H15" s="7">
        <v>999999</v>
      </c>
    </row>
    <row r="16" spans="1:8" x14ac:dyDescent="0.4">
      <c r="A16" s="55" t="s">
        <v>659</v>
      </c>
      <c r="B16" s="66"/>
      <c r="C16" s="7"/>
      <c r="D16" s="7"/>
      <c r="E16" s="7"/>
      <c r="F16" s="7"/>
      <c r="G16" s="7"/>
      <c r="H16" s="7"/>
    </row>
    <row r="17" spans="1:8" x14ac:dyDescent="0.4">
      <c r="A17" s="55" t="s">
        <v>660</v>
      </c>
      <c r="B17" s="66">
        <v>999999</v>
      </c>
      <c r="C17" s="7">
        <v>999999</v>
      </c>
      <c r="D17" s="7">
        <v>999999</v>
      </c>
      <c r="E17" s="7">
        <v>999999</v>
      </c>
      <c r="F17" s="7">
        <v>999999</v>
      </c>
      <c r="G17" s="7">
        <v>999999</v>
      </c>
      <c r="H17" s="7">
        <v>999999</v>
      </c>
    </row>
    <row r="18" spans="1:8" x14ac:dyDescent="0.4">
      <c r="A18" s="55" t="s">
        <v>661</v>
      </c>
      <c r="B18" s="66">
        <v>999999</v>
      </c>
      <c r="C18" s="7">
        <v>999999</v>
      </c>
      <c r="D18" s="7">
        <v>999999</v>
      </c>
      <c r="E18" s="7">
        <v>999999</v>
      </c>
      <c r="F18" s="7">
        <v>999999</v>
      </c>
      <c r="G18" s="7">
        <v>999999</v>
      </c>
      <c r="H18" s="7">
        <v>999999</v>
      </c>
    </row>
    <row r="19" spans="1:8" x14ac:dyDescent="0.4">
      <c r="A19" s="55" t="s">
        <v>662</v>
      </c>
      <c r="B19" s="66">
        <v>999999</v>
      </c>
      <c r="C19" s="7">
        <v>999999</v>
      </c>
      <c r="D19" s="7">
        <v>999999</v>
      </c>
      <c r="E19" s="7">
        <v>999999</v>
      </c>
      <c r="F19" s="7">
        <v>999999</v>
      </c>
      <c r="G19" s="7">
        <v>999999</v>
      </c>
      <c r="H19" s="7">
        <v>999999</v>
      </c>
    </row>
    <row r="20" spans="1:8" x14ac:dyDescent="0.4">
      <c r="A20" s="55" t="s">
        <v>663</v>
      </c>
      <c r="B20" s="66">
        <v>999999</v>
      </c>
      <c r="C20" s="7">
        <v>999999</v>
      </c>
      <c r="D20" s="7">
        <v>999999</v>
      </c>
      <c r="E20" s="7">
        <v>999999</v>
      </c>
      <c r="F20" s="7">
        <v>999999</v>
      </c>
      <c r="G20" s="7">
        <v>999999</v>
      </c>
      <c r="H20" s="7">
        <v>999999</v>
      </c>
    </row>
    <row r="21" spans="1:8" x14ac:dyDescent="0.4">
      <c r="A21" s="55" t="s">
        <v>664</v>
      </c>
      <c r="B21" s="66">
        <v>999999</v>
      </c>
      <c r="C21" s="7">
        <v>999999</v>
      </c>
      <c r="D21" s="7">
        <v>999999</v>
      </c>
      <c r="E21" s="7">
        <v>999999</v>
      </c>
      <c r="F21" s="7">
        <v>999999</v>
      </c>
      <c r="G21" s="7">
        <v>999999</v>
      </c>
      <c r="H21" s="7">
        <v>999999</v>
      </c>
    </row>
    <row r="22" spans="1:8" x14ac:dyDescent="0.4">
      <c r="A22" s="55" t="s">
        <v>665</v>
      </c>
      <c r="B22" s="66">
        <v>999999</v>
      </c>
      <c r="C22" s="7">
        <v>999999</v>
      </c>
      <c r="D22" s="7">
        <v>999999</v>
      </c>
      <c r="E22" s="7">
        <v>999999</v>
      </c>
      <c r="F22" s="7">
        <v>999999</v>
      </c>
      <c r="G22" s="7">
        <v>999999</v>
      </c>
      <c r="H22" s="7">
        <v>999999</v>
      </c>
    </row>
    <row r="23" spans="1:8" x14ac:dyDescent="0.4">
      <c r="A23" s="55" t="s">
        <v>666</v>
      </c>
      <c r="B23" s="66">
        <v>999999</v>
      </c>
      <c r="C23" s="7">
        <v>999999</v>
      </c>
      <c r="D23" s="7">
        <v>999999</v>
      </c>
      <c r="E23" s="7">
        <v>999999</v>
      </c>
      <c r="F23" s="7">
        <v>999999</v>
      </c>
      <c r="G23" s="7">
        <v>999999</v>
      </c>
      <c r="H23" s="7">
        <v>999999</v>
      </c>
    </row>
    <row r="24" spans="1:8" x14ac:dyDescent="0.4">
      <c r="A24" s="55" t="s">
        <v>667</v>
      </c>
      <c r="B24" s="66">
        <v>999999</v>
      </c>
      <c r="C24" s="7">
        <v>999999</v>
      </c>
      <c r="D24" s="7">
        <v>999999</v>
      </c>
      <c r="E24" s="7">
        <v>999999</v>
      </c>
      <c r="F24" s="7">
        <v>999999</v>
      </c>
      <c r="G24" s="7">
        <v>999999</v>
      </c>
      <c r="H24" s="7">
        <v>999999</v>
      </c>
    </row>
    <row r="25" spans="1:8" x14ac:dyDescent="0.4">
      <c r="A25" s="55" t="s">
        <v>668</v>
      </c>
      <c r="B25" s="66">
        <v>999999</v>
      </c>
      <c r="C25" s="7">
        <v>999999</v>
      </c>
      <c r="D25" s="7">
        <v>999999</v>
      </c>
      <c r="E25" s="7">
        <v>999999</v>
      </c>
      <c r="F25" s="7">
        <v>999999</v>
      </c>
      <c r="G25" s="7">
        <v>999999</v>
      </c>
      <c r="H25" s="7">
        <v>999999</v>
      </c>
    </row>
    <row r="26" spans="1:8" x14ac:dyDescent="0.4">
      <c r="A26" s="55" t="s">
        <v>669</v>
      </c>
      <c r="B26" s="66"/>
      <c r="C26" s="7"/>
      <c r="D26" s="7"/>
      <c r="E26" s="7"/>
      <c r="F26" s="7"/>
      <c r="G26" s="7"/>
      <c r="H26" s="7"/>
    </row>
    <row r="27" spans="1:8" x14ac:dyDescent="0.4">
      <c r="A27" s="55" t="s">
        <v>670</v>
      </c>
      <c r="B27" s="66">
        <v>999999</v>
      </c>
      <c r="C27" s="7">
        <v>999999</v>
      </c>
      <c r="D27" s="7">
        <v>999999</v>
      </c>
      <c r="E27" s="7">
        <v>999999</v>
      </c>
      <c r="F27" s="7">
        <v>999999</v>
      </c>
      <c r="G27" s="7">
        <v>999999</v>
      </c>
      <c r="H27" s="7">
        <v>999999</v>
      </c>
    </row>
    <row r="28" spans="1:8" x14ac:dyDescent="0.4">
      <c r="A28" s="55" t="s">
        <v>671</v>
      </c>
      <c r="B28" s="66">
        <v>999999</v>
      </c>
      <c r="C28" s="7">
        <v>999999</v>
      </c>
      <c r="D28" s="7">
        <v>999999</v>
      </c>
      <c r="E28" s="7">
        <v>999999</v>
      </c>
      <c r="F28" s="7">
        <v>999999</v>
      </c>
      <c r="G28" s="7">
        <v>999999</v>
      </c>
      <c r="H28" s="7">
        <v>999999</v>
      </c>
    </row>
    <row r="29" spans="1:8" x14ac:dyDescent="0.4">
      <c r="A29" s="55" t="s">
        <v>672</v>
      </c>
      <c r="B29" s="66">
        <v>999999</v>
      </c>
      <c r="C29" s="7">
        <v>999999</v>
      </c>
      <c r="D29" s="7">
        <v>999999</v>
      </c>
      <c r="E29" s="7">
        <v>999999</v>
      </c>
      <c r="F29" s="7">
        <v>999999</v>
      </c>
      <c r="G29" s="7">
        <v>999999</v>
      </c>
      <c r="H29" s="7">
        <v>999999</v>
      </c>
    </row>
    <row r="30" spans="1:8" x14ac:dyDescent="0.4">
      <c r="A30" s="55" t="s">
        <v>673</v>
      </c>
      <c r="B30" s="66">
        <v>999999</v>
      </c>
      <c r="C30" s="7">
        <v>999999</v>
      </c>
      <c r="D30" s="7">
        <v>999999</v>
      </c>
      <c r="E30" s="7">
        <v>999999</v>
      </c>
      <c r="F30" s="7">
        <v>999999</v>
      </c>
      <c r="G30" s="7">
        <v>999999</v>
      </c>
      <c r="H30" s="7">
        <v>999999</v>
      </c>
    </row>
    <row r="31" spans="1:8" x14ac:dyDescent="0.4">
      <c r="A31" s="55" t="s">
        <v>674</v>
      </c>
      <c r="B31" s="66">
        <v>999999</v>
      </c>
      <c r="C31" s="7">
        <v>999999</v>
      </c>
      <c r="D31" s="7">
        <v>999999</v>
      </c>
      <c r="E31" s="7">
        <v>999999</v>
      </c>
      <c r="F31" s="7">
        <v>999999</v>
      </c>
      <c r="G31" s="7">
        <v>999999</v>
      </c>
      <c r="H31" s="7">
        <v>999999</v>
      </c>
    </row>
    <row r="32" spans="1:8" x14ac:dyDescent="0.4">
      <c r="A32" s="55" t="s">
        <v>675</v>
      </c>
      <c r="B32" s="66">
        <v>999999</v>
      </c>
      <c r="C32" s="7">
        <v>999999</v>
      </c>
      <c r="D32" s="7">
        <v>999999</v>
      </c>
      <c r="E32" s="7">
        <v>999999</v>
      </c>
      <c r="F32" s="7">
        <v>999999</v>
      </c>
      <c r="G32" s="7">
        <v>999999</v>
      </c>
      <c r="H32" s="7">
        <v>999999</v>
      </c>
    </row>
    <row r="33" spans="1:8" x14ac:dyDescent="0.4">
      <c r="A33" s="55" t="s">
        <v>676</v>
      </c>
      <c r="B33" s="66"/>
      <c r="C33" s="7"/>
      <c r="D33" s="7"/>
      <c r="E33" s="7"/>
      <c r="F33" s="7"/>
      <c r="G33" s="7"/>
      <c r="H33" s="7"/>
    </row>
    <row r="34" spans="1:8" x14ac:dyDescent="0.4">
      <c r="A34" s="55" t="s">
        <v>677</v>
      </c>
      <c r="B34" s="66">
        <v>999999</v>
      </c>
      <c r="C34" s="7">
        <v>999999</v>
      </c>
      <c r="D34" s="7">
        <v>999999</v>
      </c>
      <c r="E34" s="7">
        <v>999999</v>
      </c>
      <c r="F34" s="7">
        <v>999999</v>
      </c>
      <c r="G34" s="7">
        <v>999999</v>
      </c>
      <c r="H34" s="7">
        <v>999999</v>
      </c>
    </row>
    <row r="35" spans="1:8" x14ac:dyDescent="0.4">
      <c r="A35" s="55" t="s">
        <v>678</v>
      </c>
      <c r="B35" s="66"/>
      <c r="C35" s="7"/>
      <c r="D35" s="7"/>
      <c r="E35" s="7"/>
      <c r="F35" s="7"/>
      <c r="G35" s="7"/>
      <c r="H35" s="7"/>
    </row>
    <row r="36" spans="1:8" x14ac:dyDescent="0.4">
      <c r="A36" s="55" t="s">
        <v>679</v>
      </c>
      <c r="B36" s="66">
        <v>999999</v>
      </c>
      <c r="C36" s="7">
        <v>999999</v>
      </c>
      <c r="D36" s="7">
        <v>999999</v>
      </c>
      <c r="E36" s="7">
        <v>999999</v>
      </c>
      <c r="F36" s="7">
        <v>999999</v>
      </c>
      <c r="G36" s="7">
        <v>999999</v>
      </c>
      <c r="H36" s="7">
        <v>999999</v>
      </c>
    </row>
    <row r="37" spans="1:8" x14ac:dyDescent="0.4">
      <c r="A37" s="55" t="s">
        <v>680</v>
      </c>
      <c r="B37" s="66">
        <v>999999</v>
      </c>
      <c r="C37" s="7">
        <v>999999</v>
      </c>
      <c r="D37" s="7">
        <v>999999</v>
      </c>
      <c r="E37" s="7">
        <v>999999</v>
      </c>
      <c r="F37" s="7">
        <v>999999</v>
      </c>
      <c r="G37" s="7">
        <v>999999</v>
      </c>
      <c r="H37" s="7">
        <v>999999</v>
      </c>
    </row>
    <row r="38" spans="1:8" x14ac:dyDescent="0.4">
      <c r="A38" s="55" t="s">
        <v>681</v>
      </c>
      <c r="B38" s="66">
        <v>999999</v>
      </c>
      <c r="C38" s="7">
        <v>999999</v>
      </c>
      <c r="D38" s="7">
        <v>999999</v>
      </c>
      <c r="E38" s="7">
        <v>999999</v>
      </c>
      <c r="F38" s="7">
        <v>999999</v>
      </c>
      <c r="G38" s="7">
        <v>999999</v>
      </c>
      <c r="H38" s="7">
        <v>999999</v>
      </c>
    </row>
    <row r="39" spans="1:8" x14ac:dyDescent="0.4">
      <c r="A39" s="55" t="s">
        <v>682</v>
      </c>
      <c r="B39" s="66">
        <v>999999</v>
      </c>
      <c r="C39" s="7">
        <v>999999</v>
      </c>
      <c r="D39" s="7">
        <v>999999</v>
      </c>
      <c r="E39" s="7">
        <v>999999</v>
      </c>
      <c r="F39" s="7">
        <v>999999</v>
      </c>
      <c r="G39" s="7">
        <v>999999</v>
      </c>
      <c r="H39" s="7">
        <v>999999</v>
      </c>
    </row>
    <row r="40" spans="1:8" x14ac:dyDescent="0.4">
      <c r="A40" s="55" t="s">
        <v>683</v>
      </c>
      <c r="B40" s="66">
        <v>999999</v>
      </c>
      <c r="C40" s="7">
        <v>999999</v>
      </c>
      <c r="D40" s="7">
        <v>999999</v>
      </c>
      <c r="E40" s="7">
        <v>999999</v>
      </c>
      <c r="F40" s="7">
        <v>999999</v>
      </c>
      <c r="G40" s="7">
        <v>999999</v>
      </c>
      <c r="H40" s="7">
        <v>999999</v>
      </c>
    </row>
    <row r="41" spans="1:8" x14ac:dyDescent="0.4">
      <c r="A41" s="55" t="s">
        <v>684</v>
      </c>
      <c r="B41" s="66">
        <v>999999</v>
      </c>
      <c r="C41" s="7">
        <v>999999</v>
      </c>
      <c r="D41" s="7">
        <v>999999</v>
      </c>
      <c r="E41" s="7">
        <v>999999</v>
      </c>
      <c r="F41" s="7">
        <v>999999</v>
      </c>
      <c r="G41" s="7">
        <v>999999</v>
      </c>
      <c r="H41" s="7">
        <v>999999</v>
      </c>
    </row>
    <row r="42" spans="1:8" x14ac:dyDescent="0.4">
      <c r="A42" s="55" t="s">
        <v>685</v>
      </c>
      <c r="B42" s="66"/>
      <c r="C42" s="7"/>
      <c r="D42" s="7"/>
      <c r="E42" s="7"/>
      <c r="F42" s="7"/>
      <c r="G42" s="7"/>
      <c r="H42" s="7"/>
    </row>
    <row r="43" spans="1:8" x14ac:dyDescent="0.4">
      <c r="A43" s="55" t="s">
        <v>686</v>
      </c>
      <c r="B43" s="66">
        <v>999999</v>
      </c>
      <c r="C43" s="7">
        <v>999999</v>
      </c>
      <c r="D43" s="7">
        <v>999999</v>
      </c>
      <c r="E43" s="7">
        <v>999999</v>
      </c>
      <c r="F43" s="7">
        <v>999999</v>
      </c>
      <c r="G43" s="7">
        <v>999999</v>
      </c>
      <c r="H43" s="7">
        <v>999999</v>
      </c>
    </row>
    <row r="44" spans="1:8" x14ac:dyDescent="0.4">
      <c r="A44" s="55" t="s">
        <v>687</v>
      </c>
      <c r="B44" s="66"/>
      <c r="C44" s="7"/>
      <c r="D44" s="7"/>
      <c r="E44" s="7"/>
      <c r="F44" s="7"/>
      <c r="G44" s="7"/>
      <c r="H44" s="7"/>
    </row>
    <row r="45" spans="1:8" x14ac:dyDescent="0.4">
      <c r="A45" s="55" t="s">
        <v>688</v>
      </c>
      <c r="B45" s="66">
        <v>999999</v>
      </c>
      <c r="C45" s="7">
        <v>999999</v>
      </c>
      <c r="D45" s="7">
        <v>999999</v>
      </c>
      <c r="E45" s="7">
        <v>999999</v>
      </c>
      <c r="F45" s="7">
        <v>999999</v>
      </c>
      <c r="G45" s="7">
        <v>999999</v>
      </c>
      <c r="H45" s="7">
        <v>999999</v>
      </c>
    </row>
    <row r="46" spans="1:8" x14ac:dyDescent="0.4">
      <c r="A46" s="55" t="s">
        <v>689</v>
      </c>
      <c r="B46" s="66"/>
      <c r="C46" s="7"/>
      <c r="D46" s="7"/>
      <c r="E46" s="7"/>
      <c r="F46" s="7"/>
      <c r="G46" s="7"/>
      <c r="H46" s="7"/>
    </row>
    <row r="47" spans="1:8" x14ac:dyDescent="0.4">
      <c r="A47" s="55" t="s">
        <v>690</v>
      </c>
      <c r="B47" s="66">
        <v>999999</v>
      </c>
      <c r="C47" s="7">
        <v>999999</v>
      </c>
      <c r="D47" s="7">
        <v>999999</v>
      </c>
      <c r="E47" s="7">
        <v>999999</v>
      </c>
      <c r="F47" s="7">
        <v>999999</v>
      </c>
      <c r="G47" s="7">
        <v>999999</v>
      </c>
      <c r="H47" s="7">
        <v>999999</v>
      </c>
    </row>
    <row r="48" spans="1:8" x14ac:dyDescent="0.4">
      <c r="A48" s="55" t="s">
        <v>691</v>
      </c>
      <c r="B48" s="66"/>
      <c r="C48" s="7"/>
      <c r="D48" s="7"/>
      <c r="E48" s="7"/>
      <c r="F48" s="7"/>
      <c r="G48" s="7"/>
      <c r="H48" s="7"/>
    </row>
    <row r="49" spans="1:8" x14ac:dyDescent="0.4">
      <c r="A49" s="55" t="s">
        <v>692</v>
      </c>
      <c r="B49" s="66">
        <v>999999</v>
      </c>
      <c r="C49" s="7">
        <v>999999</v>
      </c>
      <c r="D49" s="7">
        <v>999999</v>
      </c>
      <c r="E49" s="7">
        <v>999999</v>
      </c>
      <c r="F49" s="7">
        <v>999999</v>
      </c>
      <c r="G49" s="7">
        <v>999999</v>
      </c>
      <c r="H49" s="7">
        <v>999999</v>
      </c>
    </row>
    <row r="50" spans="1:8" x14ac:dyDescent="0.4">
      <c r="A50" s="55" t="s">
        <v>693</v>
      </c>
      <c r="B50" s="66">
        <v>999999</v>
      </c>
      <c r="C50" s="7">
        <v>999999</v>
      </c>
      <c r="D50" s="7">
        <v>999999</v>
      </c>
      <c r="E50" s="7">
        <v>999999</v>
      </c>
      <c r="F50" s="7">
        <v>999999</v>
      </c>
      <c r="G50" s="7">
        <v>999999</v>
      </c>
      <c r="H50" s="7">
        <v>999999</v>
      </c>
    </row>
    <row r="51" spans="1:8" x14ac:dyDescent="0.4">
      <c r="A51" s="55" t="s">
        <v>694</v>
      </c>
      <c r="B51" s="66">
        <v>999999</v>
      </c>
      <c r="C51" s="7">
        <v>999999</v>
      </c>
      <c r="D51" s="7">
        <v>999999</v>
      </c>
      <c r="E51" s="7">
        <v>999999</v>
      </c>
      <c r="F51" s="7">
        <v>999999</v>
      </c>
      <c r="G51" s="7">
        <v>999999</v>
      </c>
      <c r="H51" s="7">
        <v>999999</v>
      </c>
    </row>
    <row r="52" spans="1:8" x14ac:dyDescent="0.4">
      <c r="A52" s="55" t="s">
        <v>695</v>
      </c>
      <c r="B52" s="66">
        <v>999999</v>
      </c>
      <c r="C52" s="7">
        <v>999999</v>
      </c>
      <c r="D52" s="7">
        <v>999999</v>
      </c>
      <c r="E52" s="7">
        <v>999999</v>
      </c>
      <c r="F52" s="7">
        <v>999999</v>
      </c>
      <c r="G52" s="7">
        <v>999999</v>
      </c>
      <c r="H52" s="7">
        <v>999999</v>
      </c>
    </row>
    <row r="53" spans="1:8" x14ac:dyDescent="0.4">
      <c r="A53" s="55" t="s">
        <v>696</v>
      </c>
      <c r="B53" s="66">
        <v>999999</v>
      </c>
      <c r="C53" s="7">
        <v>999999</v>
      </c>
      <c r="D53" s="7">
        <v>999999</v>
      </c>
      <c r="E53" s="7">
        <v>999999</v>
      </c>
      <c r="F53" s="7">
        <v>999999</v>
      </c>
      <c r="G53" s="7">
        <v>999999</v>
      </c>
      <c r="H53" s="7">
        <v>999999</v>
      </c>
    </row>
    <row r="54" spans="1:8" x14ac:dyDescent="0.4">
      <c r="A54" s="55" t="s">
        <v>697</v>
      </c>
      <c r="B54" s="66">
        <v>999999</v>
      </c>
      <c r="C54" s="7">
        <v>999999</v>
      </c>
      <c r="D54" s="7">
        <v>999999</v>
      </c>
      <c r="E54" s="7">
        <v>999999</v>
      </c>
      <c r="F54" s="7">
        <v>999999</v>
      </c>
      <c r="G54" s="7">
        <v>999999</v>
      </c>
      <c r="H54" s="7">
        <v>999999</v>
      </c>
    </row>
    <row r="55" spans="1:8" x14ac:dyDescent="0.4">
      <c r="A55" s="55" t="s">
        <v>698</v>
      </c>
      <c r="B55" s="66">
        <v>999999</v>
      </c>
      <c r="C55" s="7">
        <v>999999</v>
      </c>
      <c r="D55" s="7">
        <v>999999</v>
      </c>
      <c r="E55" s="7">
        <v>999999</v>
      </c>
      <c r="F55" s="7">
        <v>999999</v>
      </c>
      <c r="G55" s="7">
        <v>999999</v>
      </c>
      <c r="H55" s="7">
        <v>999999</v>
      </c>
    </row>
    <row r="56" spans="1:8" x14ac:dyDescent="0.4">
      <c r="A56" s="55" t="s">
        <v>699</v>
      </c>
      <c r="B56" s="66">
        <v>999999</v>
      </c>
      <c r="C56" s="7">
        <v>999999</v>
      </c>
      <c r="D56" s="7">
        <v>999999</v>
      </c>
      <c r="E56" s="7">
        <v>999999</v>
      </c>
      <c r="F56" s="7">
        <v>999999</v>
      </c>
      <c r="G56" s="7">
        <v>999999</v>
      </c>
      <c r="H56" s="7">
        <v>999999</v>
      </c>
    </row>
    <row r="57" spans="1:8" x14ac:dyDescent="0.4">
      <c r="A57" s="55" t="s">
        <v>700</v>
      </c>
      <c r="B57" s="66">
        <v>999999</v>
      </c>
      <c r="C57" s="7">
        <v>999999</v>
      </c>
      <c r="D57" s="7">
        <v>999999</v>
      </c>
      <c r="E57" s="7">
        <v>999999</v>
      </c>
      <c r="F57" s="7">
        <v>999999</v>
      </c>
      <c r="G57" s="7">
        <v>999999</v>
      </c>
      <c r="H57" s="7">
        <v>999999</v>
      </c>
    </row>
    <row r="58" spans="1:8" x14ac:dyDescent="0.4">
      <c r="A58" s="55" t="s">
        <v>701</v>
      </c>
      <c r="B58" s="66">
        <v>999999</v>
      </c>
      <c r="C58" s="7">
        <v>999999</v>
      </c>
      <c r="D58" s="7">
        <v>999999</v>
      </c>
      <c r="E58" s="7">
        <v>999999</v>
      </c>
      <c r="F58" s="7">
        <v>999999</v>
      </c>
      <c r="G58" s="7">
        <v>999999</v>
      </c>
      <c r="H58" s="7">
        <v>999999</v>
      </c>
    </row>
    <row r="59" spans="1:8" x14ac:dyDescent="0.4">
      <c r="A59" s="55" t="s">
        <v>702</v>
      </c>
      <c r="B59" s="66">
        <v>999999</v>
      </c>
      <c r="C59" s="7">
        <v>999999</v>
      </c>
      <c r="D59" s="7">
        <v>999999</v>
      </c>
      <c r="E59" s="7">
        <v>999999</v>
      </c>
      <c r="F59" s="7">
        <v>999999</v>
      </c>
      <c r="G59" s="7">
        <v>999999</v>
      </c>
      <c r="H59" s="7">
        <v>999999</v>
      </c>
    </row>
    <row r="60" spans="1:8" x14ac:dyDescent="0.4">
      <c r="A60" s="55" t="s">
        <v>703</v>
      </c>
      <c r="B60" s="66">
        <v>999999</v>
      </c>
      <c r="C60" s="7">
        <v>999999</v>
      </c>
      <c r="D60" s="7">
        <v>999999</v>
      </c>
      <c r="E60" s="7">
        <v>999999</v>
      </c>
      <c r="F60" s="7">
        <v>999999</v>
      </c>
      <c r="G60" s="7">
        <v>999999</v>
      </c>
      <c r="H60" s="7">
        <v>999999</v>
      </c>
    </row>
    <row r="61" spans="1:8" x14ac:dyDescent="0.4">
      <c r="A61" s="55" t="s">
        <v>704</v>
      </c>
      <c r="B61" s="66">
        <v>999999</v>
      </c>
      <c r="C61" s="7">
        <v>999999</v>
      </c>
      <c r="D61" s="7">
        <v>999999</v>
      </c>
      <c r="E61" s="7">
        <v>999999</v>
      </c>
      <c r="F61" s="7">
        <v>999999</v>
      </c>
      <c r="G61" s="7">
        <v>999999</v>
      </c>
      <c r="H61" s="7">
        <v>999999</v>
      </c>
    </row>
    <row r="62" spans="1:8" x14ac:dyDescent="0.4">
      <c r="A62" s="55" t="s">
        <v>705</v>
      </c>
      <c r="B62" s="66">
        <v>999999</v>
      </c>
      <c r="C62" s="7">
        <v>999999</v>
      </c>
      <c r="D62" s="7">
        <v>999999</v>
      </c>
      <c r="E62" s="7">
        <v>999999</v>
      </c>
      <c r="F62" s="7">
        <v>999999</v>
      </c>
      <c r="G62" s="7">
        <v>999999</v>
      </c>
      <c r="H62" s="7">
        <v>999999</v>
      </c>
    </row>
    <row r="63" spans="1:8" x14ac:dyDescent="0.4">
      <c r="A63" s="55" t="s">
        <v>706</v>
      </c>
      <c r="B63" s="66">
        <v>999999</v>
      </c>
      <c r="C63" s="7">
        <v>999999</v>
      </c>
      <c r="D63" s="7">
        <v>999999</v>
      </c>
      <c r="E63" s="7">
        <v>999999</v>
      </c>
      <c r="F63" s="7">
        <v>999999</v>
      </c>
      <c r="G63" s="7">
        <v>999999</v>
      </c>
      <c r="H63" s="7">
        <v>999999</v>
      </c>
    </row>
    <row r="64" spans="1:8" x14ac:dyDescent="0.4">
      <c r="A64" s="55" t="s">
        <v>707</v>
      </c>
      <c r="B64" s="66"/>
      <c r="C64" s="7"/>
      <c r="D64" s="7"/>
      <c r="E64" s="7"/>
      <c r="F64" s="7"/>
      <c r="G64" s="7"/>
      <c r="H64" s="7"/>
    </row>
    <row r="65" spans="1:8" x14ac:dyDescent="0.4">
      <c r="A65" s="55" t="s">
        <v>708</v>
      </c>
      <c r="B65" s="66">
        <v>999999</v>
      </c>
      <c r="C65" s="7">
        <v>999999</v>
      </c>
      <c r="D65" s="7">
        <v>999999</v>
      </c>
      <c r="E65" s="7">
        <v>999999</v>
      </c>
      <c r="F65" s="7">
        <v>999999</v>
      </c>
      <c r="G65" s="7">
        <v>999999</v>
      </c>
      <c r="H65" s="7">
        <v>999999</v>
      </c>
    </row>
    <row r="66" spans="1:8" x14ac:dyDescent="0.4">
      <c r="A66" s="55" t="s">
        <v>709</v>
      </c>
      <c r="B66" s="66">
        <v>999999</v>
      </c>
      <c r="C66" s="7">
        <v>999999</v>
      </c>
      <c r="D66" s="7">
        <v>999999</v>
      </c>
      <c r="E66" s="7">
        <v>999999</v>
      </c>
      <c r="F66" s="7">
        <v>999999</v>
      </c>
      <c r="G66" s="7">
        <v>999999</v>
      </c>
      <c r="H66" s="7">
        <v>999999</v>
      </c>
    </row>
    <row r="67" spans="1:8" x14ac:dyDescent="0.4">
      <c r="A67" s="55" t="s">
        <v>710</v>
      </c>
      <c r="B67" s="66">
        <v>999999</v>
      </c>
      <c r="C67" s="7">
        <v>999999</v>
      </c>
      <c r="D67" s="7">
        <v>999999</v>
      </c>
      <c r="E67" s="7">
        <v>999999</v>
      </c>
      <c r="F67" s="7">
        <v>999999</v>
      </c>
      <c r="G67" s="7">
        <v>999999</v>
      </c>
      <c r="H67" s="7">
        <v>999999</v>
      </c>
    </row>
    <row r="68" spans="1:8" x14ac:dyDescent="0.4">
      <c r="A68" s="55" t="s">
        <v>711</v>
      </c>
      <c r="B68" s="66">
        <v>999999</v>
      </c>
      <c r="C68" s="7">
        <v>999999</v>
      </c>
      <c r="D68" s="7">
        <v>999999</v>
      </c>
      <c r="E68" s="7">
        <v>999999</v>
      </c>
      <c r="F68" s="7">
        <v>999999</v>
      </c>
      <c r="G68" s="7">
        <v>999999</v>
      </c>
      <c r="H68" s="7">
        <v>999999</v>
      </c>
    </row>
    <row r="69" spans="1:8" x14ac:dyDescent="0.4">
      <c r="A69" s="55" t="s">
        <v>712</v>
      </c>
      <c r="B69" s="66">
        <v>999999</v>
      </c>
      <c r="C69" s="7">
        <v>999999</v>
      </c>
      <c r="D69" s="7">
        <v>999999</v>
      </c>
      <c r="E69" s="7">
        <v>999999</v>
      </c>
      <c r="F69" s="7">
        <v>999999</v>
      </c>
      <c r="G69" s="7">
        <v>999999</v>
      </c>
      <c r="H69" s="7">
        <v>999999</v>
      </c>
    </row>
    <row r="70" spans="1:8" x14ac:dyDescent="0.4">
      <c r="A70" s="55" t="s">
        <v>713</v>
      </c>
      <c r="B70" s="66"/>
      <c r="C70" s="7"/>
      <c r="D70" s="7"/>
      <c r="E70" s="7"/>
      <c r="F70" s="7"/>
      <c r="G70" s="7"/>
      <c r="H70" s="7"/>
    </row>
    <row r="71" spans="1:8" x14ac:dyDescent="0.4">
      <c r="A71" s="55" t="s">
        <v>714</v>
      </c>
      <c r="B71" s="66">
        <v>999999</v>
      </c>
      <c r="C71" s="7">
        <v>999999</v>
      </c>
      <c r="D71" s="7">
        <v>999999</v>
      </c>
      <c r="E71" s="7">
        <v>999999</v>
      </c>
      <c r="F71" s="7">
        <v>999999</v>
      </c>
      <c r="G71" s="7">
        <v>999999</v>
      </c>
      <c r="H71" s="7">
        <v>999999</v>
      </c>
    </row>
    <row r="72" spans="1:8" x14ac:dyDescent="0.4">
      <c r="A72" s="55" t="s">
        <v>715</v>
      </c>
      <c r="B72" s="66">
        <v>999999</v>
      </c>
      <c r="C72" s="7">
        <v>999999</v>
      </c>
      <c r="D72" s="7">
        <v>999999</v>
      </c>
      <c r="E72" s="7">
        <v>999999</v>
      </c>
      <c r="F72" s="7">
        <v>999999</v>
      </c>
      <c r="G72" s="7">
        <v>999999</v>
      </c>
      <c r="H72" s="7">
        <v>999999</v>
      </c>
    </row>
    <row r="73" spans="1:8" x14ac:dyDescent="0.4">
      <c r="A73" s="55" t="s">
        <v>716</v>
      </c>
      <c r="B73" s="66"/>
      <c r="C73" s="7"/>
      <c r="D73" s="7"/>
      <c r="E73" s="7"/>
      <c r="F73" s="7"/>
      <c r="G73" s="7"/>
      <c r="H73" s="7"/>
    </row>
    <row r="74" spans="1:8" x14ac:dyDescent="0.4">
      <c r="A74" s="55" t="s">
        <v>717</v>
      </c>
      <c r="B74" s="66">
        <v>999999</v>
      </c>
      <c r="C74" s="7">
        <v>999999</v>
      </c>
      <c r="D74" s="7">
        <v>999999</v>
      </c>
      <c r="E74" s="7">
        <v>999999</v>
      </c>
      <c r="F74" s="7">
        <v>999999</v>
      </c>
      <c r="G74" s="7">
        <v>999999</v>
      </c>
      <c r="H74" s="7">
        <v>999999</v>
      </c>
    </row>
    <row r="75" spans="1:8" x14ac:dyDescent="0.4">
      <c r="A75" s="55" t="s">
        <v>718</v>
      </c>
      <c r="B75" s="66"/>
      <c r="C75" s="7"/>
      <c r="D75" s="7"/>
      <c r="E75" s="7"/>
      <c r="F75" s="7"/>
      <c r="G75" s="7"/>
      <c r="H75" s="7"/>
    </row>
    <row r="76" spans="1:8" x14ac:dyDescent="0.4">
      <c r="A76" s="55" t="s">
        <v>719</v>
      </c>
      <c r="B76" s="66">
        <v>999999</v>
      </c>
      <c r="C76" s="7">
        <v>999999</v>
      </c>
      <c r="D76" s="7">
        <v>999999</v>
      </c>
      <c r="E76" s="7">
        <v>999999</v>
      </c>
      <c r="F76" s="7">
        <v>999999</v>
      </c>
      <c r="G76" s="7">
        <v>999999</v>
      </c>
      <c r="H76" s="7">
        <v>999999</v>
      </c>
    </row>
    <row r="77" spans="1:8" x14ac:dyDescent="0.4">
      <c r="A77" s="55" t="s">
        <v>720</v>
      </c>
      <c r="B77" s="66">
        <v>999999</v>
      </c>
      <c r="C77" s="7">
        <v>999999</v>
      </c>
      <c r="D77" s="7">
        <v>999999</v>
      </c>
      <c r="E77" s="7">
        <v>999999</v>
      </c>
      <c r="F77" s="7">
        <v>999999</v>
      </c>
      <c r="G77" s="7">
        <v>999999</v>
      </c>
      <c r="H77" s="7">
        <v>999999</v>
      </c>
    </row>
    <row r="78" spans="1:8" x14ac:dyDescent="0.4">
      <c r="A78" s="55" t="s">
        <v>721</v>
      </c>
      <c r="B78" s="66">
        <v>999999</v>
      </c>
      <c r="C78" s="7">
        <v>999999</v>
      </c>
      <c r="D78" s="7">
        <v>999999</v>
      </c>
      <c r="E78" s="7">
        <v>999999</v>
      </c>
      <c r="F78" s="7">
        <v>999999</v>
      </c>
      <c r="G78" s="7">
        <v>999999</v>
      </c>
      <c r="H78" s="7">
        <v>999999</v>
      </c>
    </row>
    <row r="79" spans="1:8" x14ac:dyDescent="0.4">
      <c r="A79" s="55" t="s">
        <v>722</v>
      </c>
      <c r="B79" s="66"/>
      <c r="C79" s="7"/>
      <c r="D79" s="7"/>
      <c r="E79" s="7"/>
      <c r="F79" s="7"/>
      <c r="G79" s="7"/>
      <c r="H79" s="7"/>
    </row>
    <row r="80" spans="1:8" x14ac:dyDescent="0.4">
      <c r="A80" s="55" t="s">
        <v>723</v>
      </c>
      <c r="B80" s="66">
        <v>999999</v>
      </c>
      <c r="C80" s="7">
        <v>999999</v>
      </c>
      <c r="D80" s="7">
        <v>999999</v>
      </c>
      <c r="E80" s="7">
        <v>999999</v>
      </c>
      <c r="F80" s="7">
        <v>999999</v>
      </c>
      <c r="G80" s="7">
        <v>999999</v>
      </c>
      <c r="H80" s="7">
        <v>999999</v>
      </c>
    </row>
    <row r="81" spans="1:8" x14ac:dyDescent="0.4">
      <c r="A81" s="55" t="s">
        <v>724</v>
      </c>
      <c r="B81" s="66">
        <v>999999</v>
      </c>
      <c r="C81" s="7">
        <v>999999</v>
      </c>
      <c r="D81" s="7">
        <v>999999</v>
      </c>
      <c r="E81" s="7">
        <v>999999</v>
      </c>
      <c r="F81" s="7">
        <v>999999</v>
      </c>
      <c r="G81" s="7">
        <v>999999</v>
      </c>
      <c r="H81" s="7">
        <v>999999</v>
      </c>
    </row>
    <row r="82" spans="1:8" x14ac:dyDescent="0.4">
      <c r="A82" s="55" t="s">
        <v>725</v>
      </c>
      <c r="B82" s="66">
        <v>999999</v>
      </c>
      <c r="C82" s="7">
        <v>999999</v>
      </c>
      <c r="D82" s="7">
        <v>999999</v>
      </c>
      <c r="E82" s="7">
        <v>999999</v>
      </c>
      <c r="F82" s="7">
        <v>999999</v>
      </c>
      <c r="G82" s="7">
        <v>999999</v>
      </c>
      <c r="H82" s="7">
        <v>999999</v>
      </c>
    </row>
    <row r="83" spans="1:8" x14ac:dyDescent="0.4">
      <c r="A83" s="55" t="s">
        <v>726</v>
      </c>
      <c r="B83" s="66">
        <v>999999</v>
      </c>
      <c r="C83" s="7">
        <v>999999</v>
      </c>
      <c r="D83" s="7">
        <v>999999</v>
      </c>
      <c r="E83" s="7">
        <v>999999</v>
      </c>
      <c r="F83" s="7">
        <v>999999</v>
      </c>
      <c r="G83" s="7">
        <v>999999</v>
      </c>
      <c r="H83" s="7">
        <v>999999</v>
      </c>
    </row>
    <row r="84" spans="1:8" x14ac:dyDescent="0.4">
      <c r="A84" s="55" t="s">
        <v>727</v>
      </c>
      <c r="B84" s="66">
        <v>999999</v>
      </c>
      <c r="C84" s="7">
        <v>999999</v>
      </c>
      <c r="D84" s="7">
        <v>999999</v>
      </c>
      <c r="E84" s="7">
        <v>999999</v>
      </c>
      <c r="F84" s="7">
        <v>999999</v>
      </c>
      <c r="G84" s="7">
        <v>999999</v>
      </c>
      <c r="H84" s="7">
        <v>999999</v>
      </c>
    </row>
    <row r="85" spans="1:8" x14ac:dyDescent="0.4">
      <c r="A85" s="55" t="s">
        <v>728</v>
      </c>
      <c r="B85" s="66">
        <v>999999</v>
      </c>
      <c r="C85" s="7">
        <v>999999</v>
      </c>
      <c r="D85" s="7">
        <v>999999</v>
      </c>
      <c r="E85" s="7">
        <v>999999</v>
      </c>
      <c r="F85" s="7">
        <v>999999</v>
      </c>
      <c r="G85" s="7">
        <v>999999</v>
      </c>
      <c r="H85" s="7">
        <v>999999</v>
      </c>
    </row>
    <row r="86" spans="1:8" x14ac:dyDescent="0.4">
      <c r="A86" s="55" t="s">
        <v>729</v>
      </c>
      <c r="B86" s="66">
        <v>999999</v>
      </c>
      <c r="C86" s="7">
        <v>999999</v>
      </c>
      <c r="D86" s="7">
        <v>999999</v>
      </c>
      <c r="E86" s="7">
        <v>999999</v>
      </c>
      <c r="F86" s="7">
        <v>999999</v>
      </c>
      <c r="G86" s="7">
        <v>999999</v>
      </c>
      <c r="H86" s="7">
        <v>999999</v>
      </c>
    </row>
    <row r="87" spans="1:8" x14ac:dyDescent="0.4">
      <c r="A87" s="55" t="s">
        <v>730</v>
      </c>
      <c r="B87" s="66"/>
      <c r="C87" s="7"/>
      <c r="D87" s="7"/>
      <c r="E87" s="7"/>
      <c r="F87" s="7"/>
      <c r="G87" s="7"/>
      <c r="H87" s="7"/>
    </row>
    <row r="88" spans="1:8" x14ac:dyDescent="0.4">
      <c r="A88" s="55" t="s">
        <v>731</v>
      </c>
      <c r="B88" s="66">
        <v>999999</v>
      </c>
      <c r="C88" s="7">
        <v>999999</v>
      </c>
      <c r="D88" s="7">
        <v>999999</v>
      </c>
      <c r="E88" s="7">
        <v>999999</v>
      </c>
      <c r="F88" s="7">
        <v>999999</v>
      </c>
      <c r="G88" s="7">
        <v>999999</v>
      </c>
      <c r="H88" s="7">
        <v>999999</v>
      </c>
    </row>
    <row r="89" spans="1:8" x14ac:dyDescent="0.4">
      <c r="A89" s="55" t="s">
        <v>732</v>
      </c>
      <c r="B89" s="66"/>
      <c r="C89" s="7"/>
      <c r="D89" s="7"/>
      <c r="E89" s="7"/>
      <c r="F89" s="7"/>
      <c r="G89" s="7"/>
      <c r="H89" s="7"/>
    </row>
    <row r="90" spans="1:8" x14ac:dyDescent="0.4">
      <c r="A90" s="55" t="s">
        <v>733</v>
      </c>
      <c r="B90" s="66">
        <v>999999</v>
      </c>
      <c r="C90" s="7">
        <v>999999</v>
      </c>
      <c r="D90" s="7">
        <v>999999</v>
      </c>
      <c r="E90" s="7">
        <v>999999</v>
      </c>
      <c r="F90" s="7">
        <v>999999</v>
      </c>
      <c r="G90" s="7">
        <v>999999</v>
      </c>
      <c r="H90" s="7">
        <v>999999</v>
      </c>
    </row>
    <row r="91" spans="1:8" x14ac:dyDescent="0.4">
      <c r="A91" s="55" t="s">
        <v>734</v>
      </c>
      <c r="B91" s="66">
        <v>999999</v>
      </c>
      <c r="C91" s="7">
        <v>999999</v>
      </c>
      <c r="D91" s="7">
        <v>999999</v>
      </c>
      <c r="E91" s="7">
        <v>999999</v>
      </c>
      <c r="F91" s="7">
        <v>999999</v>
      </c>
      <c r="G91" s="7">
        <v>999999</v>
      </c>
      <c r="H91" s="7">
        <v>999999</v>
      </c>
    </row>
    <row r="92" spans="1:8" x14ac:dyDescent="0.4">
      <c r="A92" s="55" t="s">
        <v>735</v>
      </c>
      <c r="B92" s="66"/>
      <c r="C92" s="7"/>
      <c r="D92" s="7"/>
      <c r="E92" s="7"/>
      <c r="F92" s="7"/>
      <c r="G92" s="7"/>
      <c r="H92" s="7"/>
    </row>
    <row r="93" spans="1:8" x14ac:dyDescent="0.4">
      <c r="A93" s="55" t="s">
        <v>736</v>
      </c>
      <c r="B93" s="66">
        <v>999999</v>
      </c>
      <c r="C93" s="7">
        <v>999999</v>
      </c>
      <c r="D93" s="7">
        <v>999999</v>
      </c>
      <c r="E93" s="7">
        <v>999999</v>
      </c>
      <c r="F93" s="7">
        <v>999999</v>
      </c>
      <c r="G93" s="7">
        <v>999999</v>
      </c>
      <c r="H93" s="7">
        <v>999999</v>
      </c>
    </row>
    <row r="94" spans="1:8" x14ac:dyDescent="0.4">
      <c r="A94" s="55" t="s">
        <v>737</v>
      </c>
      <c r="B94" s="66"/>
      <c r="C94" s="7"/>
      <c r="D94" s="7"/>
      <c r="E94" s="7"/>
      <c r="F94" s="7"/>
      <c r="G94" s="7"/>
      <c r="H94" s="7"/>
    </row>
    <row r="95" spans="1:8" x14ac:dyDescent="0.4">
      <c r="A95" s="55" t="s">
        <v>738</v>
      </c>
      <c r="B95" s="66">
        <v>999999</v>
      </c>
      <c r="C95" s="7">
        <v>999999</v>
      </c>
      <c r="D95" s="7">
        <v>999999</v>
      </c>
      <c r="E95" s="7">
        <v>999999</v>
      </c>
      <c r="F95" s="7">
        <v>999999</v>
      </c>
      <c r="G95" s="7">
        <v>999999</v>
      </c>
      <c r="H95" s="7">
        <v>999999</v>
      </c>
    </row>
    <row r="96" spans="1:8" x14ac:dyDescent="0.4">
      <c r="A96" s="55" t="s">
        <v>739</v>
      </c>
      <c r="B96" s="66">
        <v>999999</v>
      </c>
      <c r="C96" s="7">
        <v>999999</v>
      </c>
      <c r="D96" s="7">
        <v>999999</v>
      </c>
      <c r="E96" s="7">
        <v>999999</v>
      </c>
      <c r="F96" s="7">
        <v>999999</v>
      </c>
      <c r="G96" s="7">
        <v>999999</v>
      </c>
      <c r="H96" s="7">
        <v>999999</v>
      </c>
    </row>
    <row r="97" spans="1:8" x14ac:dyDescent="0.4">
      <c r="A97" s="55" t="s">
        <v>740</v>
      </c>
      <c r="B97" s="66">
        <v>999999</v>
      </c>
      <c r="C97" s="7">
        <v>999999</v>
      </c>
      <c r="D97" s="7">
        <v>999999</v>
      </c>
      <c r="E97" s="7">
        <v>999999</v>
      </c>
      <c r="F97" s="7">
        <v>999999</v>
      </c>
      <c r="G97" s="7">
        <v>999999</v>
      </c>
      <c r="H97" s="7">
        <v>999999</v>
      </c>
    </row>
  </sheetData>
  <mergeCells count="1">
    <mergeCell ref="A1:C1"/>
  </mergeCells>
  <phoneticPr fontId="3"/>
  <pageMargins left="0.25" right="0.25" top="0.75" bottom="0.75" header="0.3" footer="0.3"/>
  <pageSetup paperSize="8" scale="92"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05673-F1F4-461E-8194-A95BF8D00420}">
  <sheetPr>
    <pageSetUpPr fitToPage="1"/>
  </sheetPr>
  <dimension ref="A1:AB81"/>
  <sheetViews>
    <sheetView tabSelected="1" view="pageBreakPreview" zoomScaleNormal="55" zoomScaleSheetLayoutView="100" workbookViewId="0"/>
  </sheetViews>
  <sheetFormatPr defaultRowHeight="15.75" x14ac:dyDescent="0.4"/>
  <cols>
    <col min="1" max="1" width="11.75" style="72" customWidth="1"/>
    <col min="2" max="2" width="19.5" style="72" customWidth="1"/>
    <col min="3" max="3" width="39.125" style="72" customWidth="1"/>
    <col min="4" max="4" width="24.375" style="72" customWidth="1"/>
    <col min="5" max="5" width="26.875" style="72" customWidth="1"/>
    <col min="6" max="6" width="25.75" style="72" customWidth="1"/>
    <col min="7" max="7" width="26.25" style="72" customWidth="1"/>
    <col min="8" max="8" width="12.875" style="72" customWidth="1"/>
    <col min="9" max="9" width="16.875" style="72" customWidth="1"/>
    <col min="10" max="10" width="18.125" style="72" customWidth="1"/>
    <col min="11" max="11" width="18.625" style="72" customWidth="1"/>
    <col min="12" max="12" width="62.25" style="72" customWidth="1"/>
    <col min="13" max="16384" width="9" style="72"/>
  </cols>
  <sheetData>
    <row r="1" spans="1:28" x14ac:dyDescent="0.4">
      <c r="A1" s="72" t="s">
        <v>763</v>
      </c>
    </row>
    <row r="2" spans="1:28" ht="24" x14ac:dyDescent="0.4">
      <c r="A2" s="145" t="s">
        <v>749</v>
      </c>
    </row>
    <row r="3" spans="1:28" x14ac:dyDescent="0.4">
      <c r="A3" s="146" t="s">
        <v>0</v>
      </c>
    </row>
    <row r="5" spans="1:28" ht="24" x14ac:dyDescent="0.4">
      <c r="A5" s="147" t="s">
        <v>71</v>
      </c>
      <c r="B5" s="147"/>
      <c r="C5" s="148"/>
    </row>
    <row r="6" spans="1:28" x14ac:dyDescent="0.4">
      <c r="A6" s="149" t="s">
        <v>1</v>
      </c>
      <c r="B6" s="150"/>
      <c r="C6" s="150"/>
      <c r="D6" s="150"/>
      <c r="E6" s="150"/>
      <c r="F6" s="150"/>
      <c r="G6" s="150"/>
      <c r="H6" s="150"/>
      <c r="I6" s="150"/>
      <c r="J6" s="150"/>
      <c r="K6" s="150"/>
      <c r="L6" s="150"/>
    </row>
    <row r="7" spans="1:28" ht="31.5" x14ac:dyDescent="0.4">
      <c r="A7" s="151" t="s">
        <v>2</v>
      </c>
      <c r="B7" s="152" t="s">
        <v>3</v>
      </c>
      <c r="C7" s="153"/>
      <c r="D7" s="151" t="s">
        <v>4</v>
      </c>
      <c r="E7" s="151" t="s">
        <v>5</v>
      </c>
      <c r="F7" s="151" t="s">
        <v>6</v>
      </c>
      <c r="G7" s="151" t="s">
        <v>7</v>
      </c>
      <c r="H7" s="151" t="s">
        <v>8</v>
      </c>
      <c r="I7" s="154" t="s">
        <v>760</v>
      </c>
      <c r="J7" s="151" t="s">
        <v>9</v>
      </c>
      <c r="K7" s="151" t="s">
        <v>10</v>
      </c>
      <c r="L7" s="155" t="s">
        <v>11</v>
      </c>
      <c r="M7" s="156"/>
    </row>
    <row r="8" spans="1:28" x14ac:dyDescent="0.4">
      <c r="A8" s="157">
        <v>501</v>
      </c>
      <c r="B8" s="401" t="str">
        <f t="shared" ref="B8:B19" si="0">VLOOKUP(A8,id_list,2,FALSE)</f>
        <v>玉川陽介</v>
      </c>
      <c r="C8" s="401"/>
      <c r="D8" s="158" t="str">
        <f t="shared" ref="D8:D19" si="1">VLOOKUP($A8,id_list,5,FALSE)</f>
        <v>-</v>
      </c>
      <c r="E8" s="159" t="str">
        <f t="shared" ref="E8:E19" si="2">VLOOKUP($A8,id_list,6,FALSE)</f>
        <v>-</v>
      </c>
      <c r="F8" s="160">
        <f t="shared" ref="F8:F19" si="3">VLOOKUP($A8,id_list,7,FALSE)</f>
        <v>28491</v>
      </c>
      <c r="G8" s="157" t="str">
        <f t="shared" ref="G8:G19" si="4">VLOOKUP($A8,id_list,8,FALSE)</f>
        <v>-</v>
      </c>
      <c r="H8" s="157" t="str">
        <f t="shared" ref="H8:H19" si="5">VLOOKUP($A8,id_list,9,FALSE)</f>
        <v>-</v>
      </c>
      <c r="I8" s="157" t="str">
        <f t="shared" ref="I8:I19" si="6">VLOOKUP($A8,id_list,10,FALSE)</f>
        <v>-</v>
      </c>
      <c r="J8" s="157" t="str">
        <f t="shared" ref="J8:J19" si="7">VLOOKUP($A8,id_list,11,FALSE)</f>
        <v>-</v>
      </c>
      <c r="K8" s="161" t="str">
        <f t="shared" ref="K8:K19" si="8">VLOOKUP($A8,id_list,12,FALSE)</f>
        <v>免税(給与所得のみ)</v>
      </c>
      <c r="L8" s="161" t="str">
        <f t="shared" ref="L8:L19" si="9">VLOOKUP($A8,id_list,13,FALSE)</f>
        <v>東京都豊島区南池袋1丁目8番21号 玉川マンション102</v>
      </c>
      <c r="N8" s="162"/>
      <c r="O8" s="162"/>
      <c r="P8" s="163"/>
      <c r="W8" s="164"/>
      <c r="X8" s="164"/>
      <c r="Y8" s="165"/>
      <c r="Z8" s="164"/>
      <c r="AA8" s="166"/>
      <c r="AB8" s="164"/>
    </row>
    <row r="9" spans="1:28" x14ac:dyDescent="0.4">
      <c r="A9" s="167">
        <v>502</v>
      </c>
      <c r="B9" s="402" t="str">
        <f t="shared" si="0"/>
        <v>玉川花子（妻）</v>
      </c>
      <c r="C9" s="402"/>
      <c r="D9" s="168" t="str">
        <f t="shared" si="1"/>
        <v>-</v>
      </c>
      <c r="E9" s="167" t="str">
        <f t="shared" si="2"/>
        <v>-</v>
      </c>
      <c r="F9" s="169">
        <f t="shared" si="3"/>
        <v>28491</v>
      </c>
      <c r="G9" s="167" t="str">
        <f t="shared" si="4"/>
        <v>-</v>
      </c>
      <c r="H9" s="167" t="str">
        <f t="shared" si="5"/>
        <v>-</v>
      </c>
      <c r="I9" s="167" t="str">
        <f t="shared" si="6"/>
        <v>-</v>
      </c>
      <c r="J9" s="167" t="str">
        <f t="shared" si="7"/>
        <v>-</v>
      </c>
      <c r="K9" s="170" t="str">
        <f t="shared" si="8"/>
        <v>免税(給与所得のみ)</v>
      </c>
      <c r="L9" s="170" t="str">
        <f t="shared" si="9"/>
        <v>東京都豊島区南池袋1丁目8番21号 玉川マンション102</v>
      </c>
      <c r="N9" s="162"/>
      <c r="O9" s="162"/>
      <c r="P9" s="163"/>
      <c r="W9" s="164"/>
      <c r="X9" s="164"/>
      <c r="Y9" s="165"/>
      <c r="Z9" s="164"/>
      <c r="AA9" s="166"/>
      <c r="AB9" s="164"/>
    </row>
    <row r="10" spans="1:28" x14ac:dyDescent="0.4">
      <c r="A10" s="171">
        <v>503</v>
      </c>
      <c r="B10" s="403" t="str">
        <f t="shared" si="0"/>
        <v>玉川太郎（長男）</v>
      </c>
      <c r="C10" s="403"/>
      <c r="D10" s="172" t="str">
        <f t="shared" si="1"/>
        <v>-</v>
      </c>
      <c r="E10" s="173" t="str">
        <f t="shared" si="2"/>
        <v>-</v>
      </c>
      <c r="F10" s="174">
        <f t="shared" si="3"/>
        <v>36526</v>
      </c>
      <c r="G10" s="171" t="str">
        <f t="shared" si="4"/>
        <v>-</v>
      </c>
      <c r="H10" s="171" t="str">
        <f t="shared" si="5"/>
        <v>-</v>
      </c>
      <c r="I10" s="175" t="str">
        <f t="shared" si="6"/>
        <v>-</v>
      </c>
      <c r="J10" s="171" t="str">
        <f t="shared" si="7"/>
        <v>-</v>
      </c>
      <c r="K10" s="171" t="str">
        <f t="shared" si="8"/>
        <v>-</v>
      </c>
      <c r="L10" s="176" t="str">
        <f t="shared" si="9"/>
        <v>東京都豊島区南池袋1丁目8番21号 玉川マンション102</v>
      </c>
      <c r="N10" s="162"/>
      <c r="O10" s="162"/>
      <c r="P10" s="163"/>
      <c r="W10" s="164"/>
      <c r="X10" s="164"/>
      <c r="Y10" s="165"/>
      <c r="Z10" s="164"/>
      <c r="AA10" s="166"/>
      <c r="AB10" s="164"/>
    </row>
    <row r="11" spans="1:28" x14ac:dyDescent="0.4">
      <c r="A11" s="167">
        <v>504</v>
      </c>
      <c r="B11" s="402" t="str">
        <f t="shared" si="0"/>
        <v>玉川次郎（次男）</v>
      </c>
      <c r="C11" s="402"/>
      <c r="D11" s="168" t="str">
        <f t="shared" si="1"/>
        <v>-</v>
      </c>
      <c r="E11" s="167" t="str">
        <f t="shared" si="2"/>
        <v>-</v>
      </c>
      <c r="F11" s="169">
        <f t="shared" si="3"/>
        <v>36526</v>
      </c>
      <c r="G11" s="167" t="str">
        <f t="shared" si="4"/>
        <v>-</v>
      </c>
      <c r="H11" s="167" t="str">
        <f t="shared" si="5"/>
        <v>-</v>
      </c>
      <c r="I11" s="177" t="str">
        <f t="shared" si="6"/>
        <v>-</v>
      </c>
      <c r="J11" s="167" t="str">
        <f t="shared" si="7"/>
        <v>-</v>
      </c>
      <c r="K11" s="167" t="str">
        <f t="shared" si="8"/>
        <v>-</v>
      </c>
      <c r="L11" s="170" t="str">
        <f t="shared" si="9"/>
        <v>東京都豊島区南池袋1丁目8番21号 玉川マンション102</v>
      </c>
      <c r="N11" s="162"/>
      <c r="O11" s="162"/>
      <c r="P11" s="163"/>
      <c r="W11" s="164"/>
      <c r="X11" s="164"/>
      <c r="Y11" s="165"/>
      <c r="Z11" s="164"/>
      <c r="AA11" s="166"/>
      <c r="AB11" s="164"/>
    </row>
    <row r="12" spans="1:28" x14ac:dyDescent="0.4">
      <c r="A12" s="178">
        <v>505</v>
      </c>
      <c r="B12" s="403" t="str">
        <f t="shared" si="0"/>
        <v>玉川かぼちゃ（長女）</v>
      </c>
      <c r="C12" s="403"/>
      <c r="D12" s="179" t="str">
        <f t="shared" si="1"/>
        <v>-</v>
      </c>
      <c r="E12" s="178" t="str">
        <f t="shared" si="2"/>
        <v>-</v>
      </c>
      <c r="F12" s="180">
        <f t="shared" si="3"/>
        <v>36526</v>
      </c>
      <c r="G12" s="178" t="str">
        <f t="shared" si="4"/>
        <v>-</v>
      </c>
      <c r="H12" s="178" t="str">
        <f t="shared" si="5"/>
        <v>-</v>
      </c>
      <c r="I12" s="181" t="str">
        <f t="shared" si="6"/>
        <v>-</v>
      </c>
      <c r="J12" s="178" t="str">
        <f t="shared" si="7"/>
        <v>-</v>
      </c>
      <c r="K12" s="178" t="str">
        <f t="shared" si="8"/>
        <v>-</v>
      </c>
      <c r="L12" s="182" t="str">
        <f t="shared" si="9"/>
        <v>東京都豊島区南池袋1丁目8番21号 玉川マンション102</v>
      </c>
      <c r="N12" s="162"/>
      <c r="O12" s="162"/>
      <c r="P12" s="163"/>
      <c r="W12" s="164"/>
      <c r="X12" s="164"/>
      <c r="Y12" s="165"/>
      <c r="Z12" s="164"/>
      <c r="AA12" s="166"/>
      <c r="AB12" s="164"/>
    </row>
    <row r="13" spans="1:28" x14ac:dyDescent="0.4">
      <c r="A13" s="167">
        <v>506</v>
      </c>
      <c r="B13" s="402" t="str">
        <f t="shared" si="0"/>
        <v>玉川三郎（養子）</v>
      </c>
      <c r="C13" s="402"/>
      <c r="D13" s="168" t="str">
        <f t="shared" si="1"/>
        <v>-</v>
      </c>
      <c r="E13" s="167" t="str">
        <f t="shared" si="2"/>
        <v>-</v>
      </c>
      <c r="F13" s="169">
        <f t="shared" si="3"/>
        <v>36526</v>
      </c>
      <c r="G13" s="167" t="str">
        <f t="shared" si="4"/>
        <v>-</v>
      </c>
      <c r="H13" s="167" t="str">
        <f t="shared" si="5"/>
        <v>-</v>
      </c>
      <c r="I13" s="177" t="str">
        <f t="shared" si="6"/>
        <v>-</v>
      </c>
      <c r="J13" s="167" t="str">
        <f t="shared" si="7"/>
        <v>-</v>
      </c>
      <c r="K13" s="167" t="str">
        <f t="shared" si="8"/>
        <v>-</v>
      </c>
      <c r="L13" s="170" t="str">
        <f t="shared" si="9"/>
        <v>東京都豊島区南池袋1丁目8番21号 玉川マンション102</v>
      </c>
      <c r="N13" s="162"/>
      <c r="O13" s="162"/>
      <c r="P13" s="163"/>
      <c r="W13" s="164"/>
      <c r="X13" s="164"/>
      <c r="Y13" s="165"/>
      <c r="Z13" s="164"/>
      <c r="AA13" s="166"/>
      <c r="AB13" s="164"/>
    </row>
    <row r="14" spans="1:28" x14ac:dyDescent="0.4">
      <c r="A14" s="171">
        <v>401</v>
      </c>
      <c r="B14" s="403" t="str">
        <f t="shared" si="0"/>
        <v>コアプラス・アンド・アーキテクチャーズ株式会社</v>
      </c>
      <c r="C14" s="403"/>
      <c r="D14" s="183" t="str">
        <f t="shared" si="1"/>
        <v>123456789012</v>
      </c>
      <c r="E14" s="171" t="str">
        <f t="shared" si="2"/>
        <v>玉川陽介</v>
      </c>
      <c r="F14" s="174">
        <f t="shared" si="3"/>
        <v>43225</v>
      </c>
      <c r="G14" s="171" t="str">
        <f t="shared" si="4"/>
        <v>100万円</v>
      </c>
      <c r="H14" s="171" t="str">
        <f t="shared" si="5"/>
        <v>12月末</v>
      </c>
      <c r="I14" s="175">
        <f t="shared" si="6"/>
        <v>0</v>
      </c>
      <c r="J14" s="171" t="str">
        <f t="shared" si="7"/>
        <v>代表者100%</v>
      </c>
      <c r="K14" s="171" t="str">
        <f t="shared" si="8"/>
        <v>原則課税</v>
      </c>
      <c r="L14" s="176" t="str">
        <f t="shared" si="9"/>
        <v>東京都豊島区南池袋1丁目8番21号 コアプラス池袋1F</v>
      </c>
      <c r="N14" s="162"/>
      <c r="O14" s="162"/>
      <c r="P14" s="163"/>
      <c r="W14" s="164"/>
      <c r="X14" s="164"/>
      <c r="Y14" s="165"/>
      <c r="Z14" s="164"/>
      <c r="AA14" s="166"/>
      <c r="AB14" s="164"/>
    </row>
    <row r="15" spans="1:28" x14ac:dyDescent="0.4">
      <c r="A15" s="167">
        <v>402</v>
      </c>
      <c r="B15" s="402" t="str">
        <f t="shared" si="0"/>
        <v>さんためエステート株式会社</v>
      </c>
      <c r="C15" s="402"/>
      <c r="D15" s="168" t="str">
        <f t="shared" si="1"/>
        <v>123456789013</v>
      </c>
      <c r="E15" s="167" t="str">
        <f t="shared" si="2"/>
        <v>玉川陽介</v>
      </c>
      <c r="F15" s="169">
        <f t="shared" si="3"/>
        <v>42892</v>
      </c>
      <c r="G15" s="167" t="str">
        <f t="shared" si="4"/>
        <v>100万円</v>
      </c>
      <c r="H15" s="167" t="str">
        <f t="shared" si="5"/>
        <v>12月末</v>
      </c>
      <c r="I15" s="177">
        <f t="shared" si="6"/>
        <v>1</v>
      </c>
      <c r="J15" s="167" t="str">
        <f t="shared" si="7"/>
        <v>代表者100%</v>
      </c>
      <c r="K15" s="167" t="str">
        <f t="shared" si="8"/>
        <v>免税</v>
      </c>
      <c r="L15" s="170" t="str">
        <f t="shared" si="9"/>
        <v>東京都豊島区南池袋1丁目8番21号 コアプラス池袋1F</v>
      </c>
      <c r="N15" s="162"/>
      <c r="O15" s="162"/>
      <c r="P15" s="163"/>
      <c r="W15" s="164"/>
      <c r="X15" s="164"/>
      <c r="Y15" s="165"/>
      <c r="Z15" s="164"/>
      <c r="AA15" s="166"/>
      <c r="AB15" s="164"/>
    </row>
    <row r="16" spans="1:28" x14ac:dyDescent="0.4">
      <c r="A16" s="178">
        <v>403</v>
      </c>
      <c r="B16" s="403" t="str">
        <f t="shared" si="0"/>
        <v>よんためプロパティ株式会社</v>
      </c>
      <c r="C16" s="403"/>
      <c r="D16" s="179" t="str">
        <f t="shared" si="1"/>
        <v>123456789014</v>
      </c>
      <c r="E16" s="178" t="str">
        <f t="shared" si="2"/>
        <v>玉川陽介</v>
      </c>
      <c r="F16" s="180">
        <f t="shared" si="3"/>
        <v>42558</v>
      </c>
      <c r="G16" s="178" t="str">
        <f t="shared" si="4"/>
        <v>100万円</v>
      </c>
      <c r="H16" s="178" t="str">
        <f t="shared" si="5"/>
        <v>12月末</v>
      </c>
      <c r="I16" s="181">
        <f t="shared" si="6"/>
        <v>2</v>
      </c>
      <c r="J16" s="178" t="str">
        <f t="shared" si="7"/>
        <v>代表者100%</v>
      </c>
      <c r="K16" s="178" t="str">
        <f t="shared" si="8"/>
        <v>簡易課税</v>
      </c>
      <c r="L16" s="182" t="str">
        <f t="shared" si="9"/>
        <v>東京都豊島区南池袋1丁目8番21号 コアプラス池袋1F</v>
      </c>
      <c r="N16" s="162"/>
      <c r="O16" s="162"/>
      <c r="P16" s="163"/>
      <c r="W16" s="164"/>
      <c r="X16" s="164"/>
      <c r="Y16" s="165"/>
      <c r="Z16" s="164"/>
      <c r="AA16" s="166"/>
      <c r="AB16" s="164"/>
    </row>
    <row r="17" spans="1:28" x14ac:dyDescent="0.4">
      <c r="A17" s="167">
        <v>404</v>
      </c>
      <c r="B17" s="402" t="str">
        <f t="shared" si="0"/>
        <v>ごためランド株式会社</v>
      </c>
      <c r="C17" s="402"/>
      <c r="D17" s="168" t="str">
        <f t="shared" si="1"/>
        <v>123456789015</v>
      </c>
      <c r="E17" s="167" t="str">
        <f t="shared" si="2"/>
        <v>玉川陽介</v>
      </c>
      <c r="F17" s="169">
        <f t="shared" si="3"/>
        <v>42224</v>
      </c>
      <c r="G17" s="167" t="str">
        <f t="shared" si="4"/>
        <v>100万円</v>
      </c>
      <c r="H17" s="167" t="str">
        <f t="shared" si="5"/>
        <v>12月末</v>
      </c>
      <c r="I17" s="177">
        <f t="shared" si="6"/>
        <v>3</v>
      </c>
      <c r="J17" s="167" t="str">
        <f t="shared" si="7"/>
        <v>代表者100%</v>
      </c>
      <c r="K17" s="167" t="str">
        <f t="shared" si="8"/>
        <v>原則課税</v>
      </c>
      <c r="L17" s="170" t="str">
        <f t="shared" si="9"/>
        <v>東京都豊島区南池袋1丁目8番21号 コアプラス池袋1F</v>
      </c>
      <c r="N17" s="162"/>
      <c r="O17" s="162"/>
      <c r="P17" s="163"/>
      <c r="W17" s="164"/>
      <c r="X17" s="164"/>
      <c r="Y17" s="165"/>
      <c r="Z17" s="164"/>
      <c r="AA17" s="166"/>
      <c r="AB17" s="164"/>
    </row>
    <row r="18" spans="1:28" x14ac:dyDescent="0.4">
      <c r="A18" s="178">
        <v>405</v>
      </c>
      <c r="B18" s="403" t="str">
        <f t="shared" si="0"/>
        <v>ろくためアセット株式会社</v>
      </c>
      <c r="C18" s="403"/>
      <c r="D18" s="179" t="str">
        <f t="shared" si="1"/>
        <v>123456789016</v>
      </c>
      <c r="E18" s="178" t="str">
        <f t="shared" si="2"/>
        <v>玉川陽介</v>
      </c>
      <c r="F18" s="180">
        <f t="shared" si="3"/>
        <v>41891</v>
      </c>
      <c r="G18" s="178" t="str">
        <f t="shared" si="4"/>
        <v>100万円</v>
      </c>
      <c r="H18" s="178" t="str">
        <f t="shared" si="5"/>
        <v>12月末</v>
      </c>
      <c r="I18" s="181">
        <f t="shared" si="6"/>
        <v>4</v>
      </c>
      <c r="J18" s="178" t="str">
        <f t="shared" si="7"/>
        <v>代表者100%</v>
      </c>
      <c r="K18" s="178" t="str">
        <f t="shared" si="8"/>
        <v>免税</v>
      </c>
      <c r="L18" s="182" t="str">
        <f t="shared" si="9"/>
        <v>東京都豊島区南池袋1丁目8番21号 コアプラス池袋1F</v>
      </c>
      <c r="N18" s="162"/>
      <c r="O18" s="162"/>
      <c r="P18" s="163"/>
      <c r="W18" s="164"/>
      <c r="X18" s="164"/>
      <c r="Y18" s="165"/>
      <c r="Z18" s="164"/>
      <c r="AA18" s="166"/>
      <c r="AB18" s="164"/>
    </row>
    <row r="19" spans="1:28" x14ac:dyDescent="0.4">
      <c r="A19" s="184">
        <v>406</v>
      </c>
      <c r="B19" s="404" t="str">
        <f t="shared" si="0"/>
        <v>ななためマネジメント株式会社</v>
      </c>
      <c r="C19" s="404"/>
      <c r="D19" s="185" t="str">
        <f t="shared" si="1"/>
        <v>123456789017</v>
      </c>
      <c r="E19" s="184" t="str">
        <f t="shared" si="2"/>
        <v>玉川陽介</v>
      </c>
      <c r="F19" s="186">
        <f t="shared" si="3"/>
        <v>41557</v>
      </c>
      <c r="G19" s="184" t="str">
        <f t="shared" si="4"/>
        <v>100万円</v>
      </c>
      <c r="H19" s="184" t="str">
        <f t="shared" si="5"/>
        <v>12月末</v>
      </c>
      <c r="I19" s="187">
        <f t="shared" si="6"/>
        <v>5</v>
      </c>
      <c r="J19" s="184" t="str">
        <f t="shared" si="7"/>
        <v>代表者100%</v>
      </c>
      <c r="K19" s="184" t="str">
        <f t="shared" si="8"/>
        <v>簡易課税</v>
      </c>
      <c r="L19" s="188" t="str">
        <f t="shared" si="9"/>
        <v>東京都豊島区南池袋1丁目8番21号 コアプラス池袋1F</v>
      </c>
      <c r="N19" s="162"/>
      <c r="O19" s="162"/>
      <c r="P19" s="163"/>
      <c r="W19" s="164"/>
      <c r="X19" s="164"/>
      <c r="Y19" s="165"/>
      <c r="Z19" s="164"/>
      <c r="AA19" s="166"/>
      <c r="AB19" s="164"/>
    </row>
    <row r="20" spans="1:28" x14ac:dyDescent="0.4">
      <c r="H20" s="162"/>
      <c r="R20" s="164"/>
      <c r="S20" s="164"/>
      <c r="T20" s="165"/>
      <c r="U20" s="164"/>
      <c r="V20" s="166"/>
      <c r="W20" s="164"/>
    </row>
    <row r="21" spans="1:28" ht="24" x14ac:dyDescent="0.4">
      <c r="A21" s="189" t="s">
        <v>748</v>
      </c>
      <c r="B21" s="190"/>
      <c r="C21" s="190"/>
      <c r="D21" s="190"/>
      <c r="H21" s="162"/>
      <c r="R21" s="164"/>
      <c r="S21" s="164"/>
      <c r="T21" s="165"/>
      <c r="U21" s="164"/>
      <c r="V21" s="166"/>
      <c r="W21" s="164"/>
    </row>
    <row r="22" spans="1:28" ht="18.75" customHeight="1" x14ac:dyDescent="0.4">
      <c r="A22" s="149" t="s">
        <v>86</v>
      </c>
      <c r="B22" s="149"/>
      <c r="C22" s="149" t="s">
        <v>87</v>
      </c>
      <c r="D22" s="149" t="s">
        <v>88</v>
      </c>
      <c r="H22" s="162"/>
      <c r="R22" s="164"/>
      <c r="S22" s="164"/>
      <c r="T22" s="165"/>
      <c r="U22" s="164"/>
      <c r="V22" s="166"/>
      <c r="W22" s="164"/>
    </row>
    <row r="23" spans="1:28" x14ac:dyDescent="0.4">
      <c r="A23" s="72" t="s">
        <v>72</v>
      </c>
      <c r="C23" s="191">
        <f>物件概要!B28/10000</f>
        <v>19030.8</v>
      </c>
      <c r="D23" s="191">
        <f>C23/12</f>
        <v>1585.8999999999999</v>
      </c>
      <c r="H23" s="162"/>
      <c r="R23" s="164"/>
      <c r="S23" s="164"/>
      <c r="T23" s="165"/>
      <c r="U23" s="164"/>
      <c r="V23" s="166"/>
      <c r="W23" s="164"/>
    </row>
    <row r="24" spans="1:28" x14ac:dyDescent="0.4">
      <c r="A24" s="192" t="s">
        <v>535</v>
      </c>
      <c r="B24" s="192"/>
      <c r="C24" s="193">
        <f>物件概要!B27/10000</f>
        <v>17458.8</v>
      </c>
      <c r="D24" s="193">
        <f t="shared" ref="D24:D30" si="10">C24/12</f>
        <v>1454.8999999999999</v>
      </c>
      <c r="H24" s="162"/>
      <c r="R24" s="164"/>
      <c r="S24" s="164"/>
      <c r="T24" s="165"/>
      <c r="U24" s="164"/>
      <c r="V24" s="166"/>
      <c r="W24" s="164"/>
    </row>
    <row r="25" spans="1:28" x14ac:dyDescent="0.4">
      <c r="A25" s="156" t="s">
        <v>73</v>
      </c>
      <c r="C25" s="194">
        <v>0.3</v>
      </c>
      <c r="D25" s="195" t="s">
        <v>61</v>
      </c>
      <c r="H25" s="162"/>
      <c r="R25" s="164"/>
      <c r="S25" s="164"/>
      <c r="T25" s="165"/>
      <c r="U25" s="164"/>
      <c r="V25" s="166"/>
      <c r="W25" s="164"/>
    </row>
    <row r="26" spans="1:28" x14ac:dyDescent="0.4">
      <c r="A26" s="196" t="s">
        <v>74</v>
      </c>
      <c r="B26" s="192"/>
      <c r="C26" s="193">
        <f>物件概要!B67</f>
        <v>14000</v>
      </c>
      <c r="D26" s="193">
        <f>C26/12</f>
        <v>1166.6666666666667</v>
      </c>
      <c r="H26" s="162"/>
      <c r="R26" s="164"/>
      <c r="S26" s="164"/>
      <c r="T26" s="165"/>
      <c r="U26" s="164"/>
      <c r="V26" s="166"/>
      <c r="W26" s="164"/>
    </row>
    <row r="27" spans="1:28" x14ac:dyDescent="0.4">
      <c r="A27" s="156" t="s">
        <v>75</v>
      </c>
      <c r="C27" s="197">
        <f>物件概要!B47</f>
        <v>1.4818332923353912E-2</v>
      </c>
      <c r="D27" s="195" t="s">
        <v>61</v>
      </c>
      <c r="H27" s="162"/>
      <c r="R27" s="164"/>
      <c r="S27" s="164"/>
      <c r="T27" s="165"/>
      <c r="U27" s="164"/>
      <c r="V27" s="166"/>
      <c r="W27" s="164"/>
    </row>
    <row r="28" spans="1:28" x14ac:dyDescent="0.4">
      <c r="A28" s="192" t="s">
        <v>76</v>
      </c>
      <c r="B28" s="192"/>
      <c r="C28" s="193">
        <f>物件概要!B57*12/10000</f>
        <v>3332.8224</v>
      </c>
      <c r="D28" s="193">
        <f t="shared" si="10"/>
        <v>277.73520000000002</v>
      </c>
      <c r="H28" s="162"/>
      <c r="R28" s="164"/>
      <c r="S28" s="164"/>
      <c r="T28" s="165"/>
      <c r="U28" s="164"/>
      <c r="V28" s="166"/>
      <c r="W28" s="164"/>
    </row>
    <row r="29" spans="1:28" x14ac:dyDescent="0.4">
      <c r="A29" s="72" t="s">
        <v>77</v>
      </c>
      <c r="C29" s="191">
        <f>物件概要!B56*12/10000</f>
        <v>6681.9071999999996</v>
      </c>
      <c r="D29" s="191">
        <f t="shared" si="10"/>
        <v>556.82560000000001</v>
      </c>
      <c r="H29" s="162"/>
      <c r="R29" s="164"/>
      <c r="S29" s="164"/>
      <c r="T29" s="165"/>
      <c r="U29" s="164"/>
      <c r="V29" s="166"/>
      <c r="W29" s="164"/>
    </row>
    <row r="30" spans="1:28" x14ac:dyDescent="0.4">
      <c r="A30" s="192" t="s">
        <v>78</v>
      </c>
      <c r="B30" s="192"/>
      <c r="C30" s="193">
        <f>物件概要!B55*12/10000</f>
        <v>10014.729600000001</v>
      </c>
      <c r="D30" s="193">
        <f t="shared" si="10"/>
        <v>834.56080000000009</v>
      </c>
      <c r="H30" s="162"/>
      <c r="R30" s="164"/>
      <c r="S30" s="164"/>
      <c r="T30" s="165"/>
      <c r="U30" s="164"/>
      <c r="V30" s="166"/>
      <c r="W30" s="164"/>
    </row>
    <row r="31" spans="1:28" ht="16.5" thickBot="1" x14ac:dyDescent="0.45">
      <c r="A31" s="198" t="s">
        <v>79</v>
      </c>
      <c r="B31" s="198"/>
      <c r="C31" s="199">
        <f>物件概要!B68</f>
        <v>1245</v>
      </c>
      <c r="D31" s="199">
        <f>C31/12</f>
        <v>103.75</v>
      </c>
      <c r="H31" s="162"/>
      <c r="R31" s="164"/>
      <c r="S31" s="164"/>
      <c r="T31" s="165"/>
      <c r="U31" s="164"/>
      <c r="V31" s="166"/>
      <c r="W31" s="164"/>
    </row>
    <row r="32" spans="1:28" ht="16.5" thickTop="1" x14ac:dyDescent="0.4">
      <c r="A32" s="192" t="s">
        <v>80</v>
      </c>
      <c r="B32" s="192"/>
      <c r="C32" s="193">
        <f>物件概要!B70</f>
        <v>9512.1176000000069</v>
      </c>
      <c r="D32" s="200" t="s">
        <v>61</v>
      </c>
      <c r="H32" s="162"/>
      <c r="R32" s="164"/>
      <c r="S32" s="164"/>
      <c r="T32" s="165"/>
      <c r="U32" s="164"/>
      <c r="V32" s="166"/>
      <c r="W32" s="164"/>
    </row>
    <row r="33" spans="1:23" x14ac:dyDescent="0.4">
      <c r="A33" s="72" t="s">
        <v>81</v>
      </c>
      <c r="C33" s="191">
        <f>C32+C31</f>
        <v>10757.117600000007</v>
      </c>
      <c r="D33" s="195" t="s">
        <v>61</v>
      </c>
      <c r="H33" s="162"/>
      <c r="R33" s="164"/>
      <c r="S33" s="164"/>
      <c r="T33" s="165"/>
      <c r="U33" s="164"/>
      <c r="V33" s="166"/>
      <c r="W33" s="164"/>
    </row>
    <row r="34" spans="1:23" x14ac:dyDescent="0.4">
      <c r="A34" s="192" t="s">
        <v>82</v>
      </c>
      <c r="B34" s="192"/>
      <c r="C34" s="201">
        <v>0.3</v>
      </c>
      <c r="D34" s="200" t="s">
        <v>61</v>
      </c>
      <c r="H34" s="162"/>
      <c r="R34" s="164"/>
      <c r="S34" s="164"/>
      <c r="T34" s="165"/>
      <c r="U34" s="164"/>
      <c r="V34" s="166"/>
      <c r="W34" s="164"/>
    </row>
    <row r="35" spans="1:23" x14ac:dyDescent="0.4">
      <c r="A35" s="72" t="s">
        <v>83</v>
      </c>
      <c r="C35" s="191">
        <f>C32*0.3</f>
        <v>2853.6352800000018</v>
      </c>
      <c r="D35" s="195" t="s">
        <v>61</v>
      </c>
      <c r="H35" s="162"/>
      <c r="R35" s="164"/>
      <c r="S35" s="164"/>
      <c r="T35" s="165"/>
      <c r="U35" s="164"/>
      <c r="V35" s="166"/>
      <c r="W35" s="164"/>
    </row>
    <row r="36" spans="1:23" x14ac:dyDescent="0.4">
      <c r="A36" s="192" t="s">
        <v>84</v>
      </c>
      <c r="B36" s="192"/>
      <c r="C36" s="193">
        <f>C32-C35</f>
        <v>6658.4823200000046</v>
      </c>
      <c r="D36" s="200" t="s">
        <v>61</v>
      </c>
      <c r="H36" s="162"/>
      <c r="R36" s="164"/>
      <c r="S36" s="164"/>
      <c r="T36" s="165"/>
      <c r="U36" s="164"/>
      <c r="V36" s="166"/>
      <c r="W36" s="164"/>
    </row>
    <row r="37" spans="1:23" x14ac:dyDescent="0.4">
      <c r="A37" s="190" t="s">
        <v>85</v>
      </c>
      <c r="B37" s="190"/>
      <c r="C37" s="202">
        <f>物件概要!B72</f>
        <v>1615.6791200000007</v>
      </c>
      <c r="D37" s="202">
        <f>C37/12</f>
        <v>134.63992666666672</v>
      </c>
      <c r="H37" s="162"/>
      <c r="R37" s="164"/>
      <c r="S37" s="164"/>
      <c r="T37" s="165"/>
      <c r="U37" s="164"/>
      <c r="V37" s="166"/>
      <c r="W37" s="164"/>
    </row>
    <row r="38" spans="1:23" x14ac:dyDescent="0.4">
      <c r="H38" s="162"/>
      <c r="R38" s="164"/>
      <c r="S38" s="164"/>
      <c r="T38" s="165"/>
      <c r="U38" s="164"/>
      <c r="V38" s="166"/>
      <c r="W38" s="164"/>
    </row>
    <row r="39" spans="1:23" ht="24" x14ac:dyDescent="0.4">
      <c r="A39" s="147" t="s">
        <v>752</v>
      </c>
      <c r="B39" s="147"/>
      <c r="C39" s="148"/>
    </row>
    <row r="40" spans="1:23" x14ac:dyDescent="0.4">
      <c r="A40" s="203" t="s">
        <v>89</v>
      </c>
      <c r="B40" s="204"/>
      <c r="C40" s="204"/>
      <c r="D40" s="203" t="s">
        <v>90</v>
      </c>
      <c r="E40" s="204"/>
      <c r="F40" s="203" t="s">
        <v>91</v>
      </c>
      <c r="G40" s="205"/>
      <c r="H40" s="206"/>
    </row>
    <row r="41" spans="1:23" ht="24" customHeight="1" x14ac:dyDescent="0.4">
      <c r="A41" s="399" t="s">
        <v>92</v>
      </c>
      <c r="B41" s="400"/>
      <c r="C41" s="207" t="s">
        <v>93</v>
      </c>
      <c r="D41" s="208" t="s">
        <v>94</v>
      </c>
      <c r="E41" s="209" t="s">
        <v>93</v>
      </c>
      <c r="F41" s="208" t="s">
        <v>95</v>
      </c>
      <c r="G41" s="209" t="s">
        <v>93</v>
      </c>
      <c r="H41" s="206"/>
    </row>
    <row r="42" spans="1:23" x14ac:dyDescent="0.4">
      <c r="A42" s="210" t="s">
        <v>96</v>
      </c>
      <c r="B42" s="210"/>
      <c r="C42" s="211">
        <f>物件概要!B74</f>
        <v>274300</v>
      </c>
      <c r="D42" s="212" t="s">
        <v>750</v>
      </c>
      <c r="E42" s="213">
        <f>(GETPIVOTDATA("残債",借入サマリー!$A$4)-GETPIVOTDATA("残債",借入サマリー!$A$4,"担保","無担保"))/10000</f>
        <v>218932.51949999999</v>
      </c>
      <c r="F42" s="214" t="s">
        <v>101</v>
      </c>
      <c r="G42" s="215">
        <f>G47-G43</f>
        <v>37820.4179</v>
      </c>
      <c r="H42" s="216"/>
    </row>
    <row r="43" spans="1:23" x14ac:dyDescent="0.4">
      <c r="A43" s="196" t="s">
        <v>319</v>
      </c>
      <c r="B43" s="196"/>
      <c r="C43" s="217">
        <f>SUMIF(kinyushisan,A43,kinyushisan2)/10000</f>
        <v>9000</v>
      </c>
      <c r="D43" s="218" t="s">
        <v>751</v>
      </c>
      <c r="E43" s="219">
        <f>GETPIVOTDATA("残債",借入サマリー!$A$4,"担保","無担保")/10000</f>
        <v>5979.5820999999996</v>
      </c>
      <c r="F43" s="218" t="s">
        <v>102</v>
      </c>
      <c r="G43" s="220">
        <f>C42-E42-E44</f>
        <v>54507.480500000005</v>
      </c>
      <c r="H43" s="216"/>
    </row>
    <row r="44" spans="1:23" x14ac:dyDescent="0.4">
      <c r="A44" s="216" t="s">
        <v>97</v>
      </c>
      <c r="B44" s="216"/>
      <c r="C44" s="221">
        <f>SUMIF(kinyushisan,A44,kinyushisan2)/10000</f>
        <v>1500</v>
      </c>
      <c r="D44" s="222" t="s">
        <v>99</v>
      </c>
      <c r="E44" s="223">
        <f>SUM(ID!T2:T65)/10000</f>
        <v>860</v>
      </c>
      <c r="F44" s="222"/>
      <c r="G44" s="224"/>
      <c r="H44" s="216"/>
    </row>
    <row r="45" spans="1:23" x14ac:dyDescent="0.4">
      <c r="A45" s="196" t="s">
        <v>293</v>
      </c>
      <c r="B45" s="196"/>
      <c r="C45" s="217">
        <f>SUMIF(kinyushisan,A45,kinyushisan2)/10000</f>
        <v>26900</v>
      </c>
      <c r="D45" s="218" t="s">
        <v>298</v>
      </c>
      <c r="E45" s="219">
        <f>SUMIF(kinyushisan,D45,kinyushisan2)/10000*-1</f>
        <v>4600</v>
      </c>
      <c r="F45" s="218"/>
      <c r="G45" s="225"/>
      <c r="H45" s="216"/>
    </row>
    <row r="46" spans="1:23" ht="16.5" thickBot="1" x14ac:dyDescent="0.45">
      <c r="A46" s="226" t="s">
        <v>280</v>
      </c>
      <c r="B46" s="226"/>
      <c r="C46" s="227">
        <f>SUMIF(kinyushisan,A46,kinyushisan2)/10000</f>
        <v>11000</v>
      </c>
      <c r="D46" s="228"/>
      <c r="E46" s="229"/>
      <c r="F46" s="228"/>
      <c r="G46" s="230"/>
      <c r="H46" s="216"/>
    </row>
    <row r="47" spans="1:23" ht="16.5" thickTop="1" x14ac:dyDescent="0.4">
      <c r="A47" s="231" t="s">
        <v>98</v>
      </c>
      <c r="B47" s="216"/>
      <c r="C47" s="221">
        <f>SUM(C42:C46)</f>
        <v>322700</v>
      </c>
      <c r="D47" s="232" t="s">
        <v>100</v>
      </c>
      <c r="E47" s="233">
        <f>SUM(E42:E46)</f>
        <v>230372.10159999999</v>
      </c>
      <c r="F47" s="232" t="s">
        <v>103</v>
      </c>
      <c r="G47" s="234">
        <f>C47-E47</f>
        <v>92327.898400000005</v>
      </c>
      <c r="H47" s="216"/>
    </row>
    <row r="48" spans="1:23" x14ac:dyDescent="0.4">
      <c r="A48" s="216"/>
      <c r="C48" s="235"/>
      <c r="D48" s="236"/>
      <c r="E48" s="237"/>
      <c r="F48" s="156"/>
      <c r="G48" s="237"/>
    </row>
    <row r="49" spans="1:24" ht="24" x14ac:dyDescent="0.4">
      <c r="A49" s="147" t="s">
        <v>104</v>
      </c>
      <c r="C49" s="235"/>
      <c r="D49" s="156"/>
      <c r="E49" s="237"/>
      <c r="F49" s="156"/>
      <c r="G49" s="237"/>
    </row>
    <row r="50" spans="1:24" x14ac:dyDescent="0.4">
      <c r="A50" s="149" t="s">
        <v>304</v>
      </c>
      <c r="B50" s="238"/>
      <c r="C50" s="238"/>
      <c r="D50" s="238"/>
      <c r="E50" s="238"/>
      <c r="F50" s="238"/>
      <c r="G50" s="238"/>
      <c r="H50" s="238"/>
      <c r="I50" s="238"/>
      <c r="J50" s="238"/>
      <c r="K50" s="239"/>
      <c r="R50" s="164"/>
      <c r="S50" s="164"/>
      <c r="T50" s="165"/>
      <c r="U50" s="164"/>
      <c r="V50" s="166"/>
      <c r="W50" s="164"/>
    </row>
    <row r="51" spans="1:24" x14ac:dyDescent="0.4">
      <c r="A51" s="152" t="s">
        <v>290</v>
      </c>
      <c r="B51" s="240"/>
      <c r="C51" s="151" t="s">
        <v>105</v>
      </c>
      <c r="D51" s="151" t="s">
        <v>106</v>
      </c>
      <c r="E51" s="152" t="s">
        <v>294</v>
      </c>
      <c r="F51" s="153"/>
      <c r="G51" s="151" t="s">
        <v>107</v>
      </c>
      <c r="H51" s="151" t="s">
        <v>108</v>
      </c>
      <c r="I51" s="154" t="s">
        <v>310</v>
      </c>
      <c r="J51" s="154" t="s">
        <v>303</v>
      </c>
      <c r="K51" s="154" t="s">
        <v>311</v>
      </c>
      <c r="L51" s="241"/>
      <c r="S51" s="164"/>
      <c r="T51" s="164"/>
      <c r="U51" s="165"/>
      <c r="V51" s="164"/>
      <c r="W51" s="166"/>
      <c r="X51" s="164"/>
    </row>
    <row r="52" spans="1:24" x14ac:dyDescent="0.4">
      <c r="A52" s="242" t="s">
        <v>319</v>
      </c>
      <c r="B52" s="242"/>
      <c r="C52" s="242" t="s">
        <v>109</v>
      </c>
      <c r="D52" s="242" t="s">
        <v>110</v>
      </c>
      <c r="E52" s="242" t="s">
        <v>761</v>
      </c>
      <c r="F52" s="242"/>
      <c r="G52" s="243">
        <v>50000000</v>
      </c>
      <c r="H52" s="243">
        <v>1</v>
      </c>
      <c r="I52" s="244">
        <f>G52*H52</f>
        <v>50000000</v>
      </c>
      <c r="J52" s="244">
        <v>1</v>
      </c>
      <c r="K52" s="245">
        <f t="shared" ref="K52:K56" si="11">I52*J52</f>
        <v>50000000</v>
      </c>
      <c r="S52" s="164"/>
      <c r="T52" s="164"/>
      <c r="U52" s="165"/>
      <c r="V52" s="164"/>
      <c r="W52" s="166"/>
      <c r="X52" s="164"/>
    </row>
    <row r="53" spans="1:24" x14ac:dyDescent="0.4">
      <c r="A53" s="171" t="s">
        <v>319</v>
      </c>
      <c r="B53" s="171"/>
      <c r="C53" s="171" t="s">
        <v>111</v>
      </c>
      <c r="D53" s="171" t="s">
        <v>320</v>
      </c>
      <c r="E53" s="171" t="s">
        <v>321</v>
      </c>
      <c r="F53" s="171"/>
      <c r="G53" s="246">
        <v>10000000</v>
      </c>
      <c r="H53" s="246">
        <v>1</v>
      </c>
      <c r="I53" s="247">
        <f>G53*H53</f>
        <v>10000000</v>
      </c>
      <c r="J53" s="247">
        <v>1</v>
      </c>
      <c r="K53" s="248">
        <f t="shared" ref="K53" si="12">I53*J53</f>
        <v>10000000</v>
      </c>
      <c r="S53" s="164"/>
      <c r="T53" s="164"/>
      <c r="U53" s="165"/>
      <c r="V53" s="164"/>
      <c r="W53" s="166"/>
      <c r="X53" s="164"/>
    </row>
    <row r="54" spans="1:24" x14ac:dyDescent="0.4">
      <c r="A54" s="167" t="s">
        <v>319</v>
      </c>
      <c r="B54" s="167"/>
      <c r="C54" s="167" t="s">
        <v>111</v>
      </c>
      <c r="D54" s="167" t="s">
        <v>110</v>
      </c>
      <c r="E54" s="167" t="s">
        <v>762</v>
      </c>
      <c r="F54" s="167"/>
      <c r="G54" s="249">
        <v>30000000</v>
      </c>
      <c r="H54" s="249">
        <v>1</v>
      </c>
      <c r="I54" s="250">
        <f>G54*H54</f>
        <v>30000000</v>
      </c>
      <c r="J54" s="250">
        <v>1</v>
      </c>
      <c r="K54" s="251">
        <f t="shared" si="11"/>
        <v>30000000</v>
      </c>
      <c r="S54" s="164"/>
      <c r="T54" s="164"/>
      <c r="U54" s="165"/>
      <c r="V54" s="164"/>
      <c r="W54" s="166"/>
      <c r="X54" s="164"/>
    </row>
    <row r="55" spans="1:24" x14ac:dyDescent="0.4">
      <c r="A55" s="171" t="s">
        <v>97</v>
      </c>
      <c r="B55" s="171"/>
      <c r="C55" s="171" t="s">
        <v>111</v>
      </c>
      <c r="D55" s="171" t="s">
        <v>112</v>
      </c>
      <c r="E55" s="171" t="s">
        <v>97</v>
      </c>
      <c r="F55" s="171"/>
      <c r="G55" s="246">
        <v>15000000</v>
      </c>
      <c r="H55" s="246">
        <v>1</v>
      </c>
      <c r="I55" s="247">
        <f>G55*H55</f>
        <v>15000000</v>
      </c>
      <c r="J55" s="247">
        <v>1</v>
      </c>
      <c r="K55" s="248">
        <f t="shared" si="11"/>
        <v>15000000</v>
      </c>
      <c r="S55" s="164"/>
      <c r="T55" s="164"/>
      <c r="U55" s="165"/>
      <c r="V55" s="164"/>
      <c r="W55" s="166"/>
      <c r="X55" s="164"/>
    </row>
    <row r="56" spans="1:24" x14ac:dyDescent="0.4">
      <c r="A56" s="167" t="s">
        <v>293</v>
      </c>
      <c r="B56" s="167"/>
      <c r="C56" s="167" t="s">
        <v>111</v>
      </c>
      <c r="D56" s="167" t="s">
        <v>113</v>
      </c>
      <c r="E56" s="167" t="s">
        <v>312</v>
      </c>
      <c r="F56" s="167"/>
      <c r="G56" s="249">
        <v>10000000</v>
      </c>
      <c r="H56" s="249">
        <v>1</v>
      </c>
      <c r="I56" s="250">
        <f t="shared" ref="I56:I58" si="13">G56*H56</f>
        <v>10000000</v>
      </c>
      <c r="J56" s="250">
        <v>1</v>
      </c>
      <c r="K56" s="251">
        <f t="shared" si="11"/>
        <v>10000000</v>
      </c>
      <c r="S56" s="164"/>
      <c r="T56" s="164"/>
      <c r="U56" s="165"/>
      <c r="V56" s="164"/>
      <c r="W56" s="166"/>
      <c r="X56" s="164"/>
    </row>
    <row r="57" spans="1:24" x14ac:dyDescent="0.4">
      <c r="A57" s="171" t="s">
        <v>493</v>
      </c>
      <c r="B57" s="171"/>
      <c r="C57" s="171" t="s">
        <v>494</v>
      </c>
      <c r="D57" s="171" t="s">
        <v>317</v>
      </c>
      <c r="E57" s="171" t="s">
        <v>318</v>
      </c>
      <c r="F57" s="171"/>
      <c r="G57" s="246">
        <v>2000</v>
      </c>
      <c r="H57" s="246">
        <v>4500</v>
      </c>
      <c r="I57" s="247">
        <f t="shared" ref="I57" si="14">G57*H57</f>
        <v>9000000</v>
      </c>
      <c r="J57" s="247">
        <v>1</v>
      </c>
      <c r="K57" s="248">
        <f t="shared" ref="K57" si="15">I57*J57</f>
        <v>9000000</v>
      </c>
      <c r="S57" s="164"/>
      <c r="T57" s="164"/>
      <c r="U57" s="165"/>
      <c r="V57" s="164"/>
      <c r="W57" s="166"/>
      <c r="X57" s="164"/>
    </row>
    <row r="58" spans="1:24" ht="16.5" thickBot="1" x14ac:dyDescent="0.45">
      <c r="A58" s="252" t="s">
        <v>293</v>
      </c>
      <c r="B58" s="252"/>
      <c r="C58" s="252" t="s">
        <v>306</v>
      </c>
      <c r="D58" s="252" t="s">
        <v>307</v>
      </c>
      <c r="E58" s="252" t="s">
        <v>305</v>
      </c>
      <c r="F58" s="252"/>
      <c r="G58" s="253">
        <v>5000</v>
      </c>
      <c r="H58" s="253">
        <v>500</v>
      </c>
      <c r="I58" s="254">
        <f t="shared" si="13"/>
        <v>2500000</v>
      </c>
      <c r="J58" s="254">
        <v>100</v>
      </c>
      <c r="K58" s="255">
        <f>I58*J58</f>
        <v>250000000</v>
      </c>
      <c r="S58" s="164"/>
      <c r="T58" s="164"/>
      <c r="U58" s="165"/>
      <c r="V58" s="164"/>
      <c r="W58" s="166"/>
      <c r="X58" s="164"/>
    </row>
    <row r="59" spans="1:24" ht="16.5" thickTop="1" x14ac:dyDescent="0.4">
      <c r="A59" s="231"/>
      <c r="B59" s="231"/>
      <c r="C59" s="216"/>
      <c r="D59" s="231"/>
      <c r="E59" s="256"/>
      <c r="F59" s="231"/>
      <c r="G59" s="231"/>
      <c r="H59" s="231"/>
      <c r="I59" s="231"/>
      <c r="J59" s="257" t="s">
        <v>322</v>
      </c>
      <c r="K59" s="258">
        <f>SUM(K52:K58)</f>
        <v>374000000</v>
      </c>
    </row>
    <row r="60" spans="1:24" x14ac:dyDescent="0.4">
      <c r="A60" s="149" t="s">
        <v>291</v>
      </c>
      <c r="B60" s="238"/>
      <c r="C60" s="238"/>
      <c r="D60" s="238"/>
      <c r="E60" s="238"/>
      <c r="F60" s="238"/>
      <c r="G60" s="238"/>
      <c r="H60" s="238"/>
      <c r="I60" s="238"/>
      <c r="J60" s="238"/>
      <c r="K60" s="239"/>
    </row>
    <row r="61" spans="1:24" x14ac:dyDescent="0.4">
      <c r="A61" s="152" t="s">
        <v>290</v>
      </c>
      <c r="B61" s="240"/>
      <c r="C61" s="151" t="s">
        <v>105</v>
      </c>
      <c r="D61" s="208" t="s">
        <v>106</v>
      </c>
      <c r="E61" s="152" t="s">
        <v>294</v>
      </c>
      <c r="F61" s="153"/>
      <c r="G61" s="208" t="s">
        <v>107</v>
      </c>
      <c r="H61" s="208" t="s">
        <v>108</v>
      </c>
      <c r="I61" s="259" t="s">
        <v>310</v>
      </c>
      <c r="J61" s="259" t="s">
        <v>303</v>
      </c>
      <c r="K61" s="259" t="s">
        <v>311</v>
      </c>
      <c r="L61" s="241"/>
      <c r="S61" s="164"/>
      <c r="T61" s="164"/>
      <c r="U61" s="165"/>
      <c r="V61" s="164"/>
      <c r="W61" s="166"/>
      <c r="X61" s="164"/>
    </row>
    <row r="62" spans="1:24" x14ac:dyDescent="0.4">
      <c r="A62" s="218" t="s">
        <v>280</v>
      </c>
      <c r="B62" s="260"/>
      <c r="C62" s="260" t="s">
        <v>301</v>
      </c>
      <c r="D62" s="260" t="s">
        <v>288</v>
      </c>
      <c r="E62" s="260" t="s">
        <v>295</v>
      </c>
      <c r="F62" s="260"/>
      <c r="G62" s="261">
        <v>1</v>
      </c>
      <c r="H62" s="261">
        <v>30000000</v>
      </c>
      <c r="I62" s="262">
        <f>G62*H62</f>
        <v>30000000</v>
      </c>
      <c r="J62" s="262">
        <v>1</v>
      </c>
      <c r="K62" s="263">
        <f t="shared" ref="K62:K64" si="16">I62*J62</f>
        <v>30000000</v>
      </c>
      <c r="S62" s="164"/>
      <c r="T62" s="164"/>
      <c r="U62" s="165"/>
      <c r="V62" s="164"/>
      <c r="W62" s="166"/>
      <c r="X62" s="164"/>
    </row>
    <row r="63" spans="1:24" x14ac:dyDescent="0.4">
      <c r="A63" s="222" t="s">
        <v>280</v>
      </c>
      <c r="B63" s="156"/>
      <c r="C63" s="156" t="s">
        <v>111</v>
      </c>
      <c r="D63" s="156" t="s">
        <v>288</v>
      </c>
      <c r="E63" s="156" t="s">
        <v>296</v>
      </c>
      <c r="F63" s="156"/>
      <c r="G63" s="264">
        <v>1</v>
      </c>
      <c r="H63" s="264">
        <v>30000000</v>
      </c>
      <c r="I63" s="265">
        <f>G63*H63</f>
        <v>30000000</v>
      </c>
      <c r="J63" s="265">
        <v>1</v>
      </c>
      <c r="K63" s="266">
        <f t="shared" si="16"/>
        <v>30000000</v>
      </c>
      <c r="S63" s="164"/>
      <c r="T63" s="164"/>
      <c r="U63" s="165"/>
      <c r="V63" s="164"/>
      <c r="W63" s="166"/>
      <c r="X63" s="164"/>
    </row>
    <row r="64" spans="1:24" ht="16.5" thickBot="1" x14ac:dyDescent="0.45">
      <c r="A64" s="267" t="s">
        <v>280</v>
      </c>
      <c r="B64" s="268"/>
      <c r="C64" s="268" t="s">
        <v>111</v>
      </c>
      <c r="D64" s="268" t="s">
        <v>297</v>
      </c>
      <c r="E64" s="268" t="s">
        <v>292</v>
      </c>
      <c r="F64" s="268"/>
      <c r="G64" s="269">
        <v>1</v>
      </c>
      <c r="H64" s="269">
        <v>50000000</v>
      </c>
      <c r="I64" s="270">
        <f>G64*H64</f>
        <v>50000000</v>
      </c>
      <c r="J64" s="270">
        <v>1</v>
      </c>
      <c r="K64" s="271">
        <f t="shared" si="16"/>
        <v>50000000</v>
      </c>
      <c r="S64" s="164"/>
      <c r="T64" s="164"/>
      <c r="U64" s="165"/>
      <c r="V64" s="164"/>
      <c r="W64" s="166"/>
      <c r="X64" s="164"/>
    </row>
    <row r="65" spans="1:24" ht="16.5" thickTop="1" x14ac:dyDescent="0.4">
      <c r="A65" s="156"/>
      <c r="B65" s="156"/>
      <c r="C65" s="156"/>
      <c r="D65" s="156"/>
      <c r="E65" s="156"/>
      <c r="F65" s="156"/>
      <c r="G65" s="264"/>
      <c r="H65" s="264"/>
      <c r="I65" s="265"/>
      <c r="J65" s="247" t="s">
        <v>323</v>
      </c>
      <c r="K65" s="258">
        <f>SUM(K62:K64)</f>
        <v>110000000</v>
      </c>
      <c r="S65" s="164"/>
      <c r="T65" s="164"/>
      <c r="U65" s="165"/>
      <c r="V65" s="164"/>
      <c r="W65" s="166"/>
      <c r="X65" s="164"/>
    </row>
    <row r="66" spans="1:24" x14ac:dyDescent="0.4">
      <c r="A66" s="149" t="s">
        <v>316</v>
      </c>
      <c r="B66" s="238"/>
      <c r="C66" s="238"/>
      <c r="D66" s="238"/>
      <c r="E66" s="238"/>
      <c r="F66" s="238"/>
      <c r="G66" s="238"/>
      <c r="H66" s="238"/>
      <c r="I66" s="238"/>
      <c r="J66" s="238"/>
      <c r="K66" s="239"/>
      <c r="S66" s="164"/>
      <c r="T66" s="164"/>
      <c r="U66" s="165"/>
      <c r="V66" s="164"/>
      <c r="W66" s="166"/>
      <c r="X66" s="164"/>
    </row>
    <row r="67" spans="1:24" x14ac:dyDescent="0.4">
      <c r="A67" s="152" t="s">
        <v>290</v>
      </c>
      <c r="B67" s="240"/>
      <c r="C67" s="151" t="s">
        <v>299</v>
      </c>
      <c r="D67" s="209" t="s">
        <v>106</v>
      </c>
      <c r="E67" s="152" t="s">
        <v>300</v>
      </c>
      <c r="F67" s="153"/>
      <c r="G67" s="208" t="s">
        <v>107</v>
      </c>
      <c r="H67" s="209" t="s">
        <v>108</v>
      </c>
      <c r="I67" s="259" t="s">
        <v>310</v>
      </c>
      <c r="J67" s="272" t="s">
        <v>303</v>
      </c>
      <c r="K67" s="259" t="s">
        <v>311</v>
      </c>
      <c r="S67" s="164"/>
      <c r="T67" s="164"/>
      <c r="U67" s="165"/>
      <c r="V67" s="164"/>
      <c r="W67" s="166"/>
      <c r="X67" s="164"/>
    </row>
    <row r="68" spans="1:24" x14ac:dyDescent="0.4">
      <c r="A68" s="196" t="s">
        <v>298</v>
      </c>
      <c r="B68" s="260"/>
      <c r="C68" s="260" t="s">
        <v>313</v>
      </c>
      <c r="D68" s="260" t="s">
        <v>314</v>
      </c>
      <c r="E68" s="260" t="s">
        <v>308</v>
      </c>
      <c r="F68" s="260"/>
      <c r="G68" s="261">
        <v>-30000000</v>
      </c>
      <c r="H68" s="261">
        <v>1</v>
      </c>
      <c r="I68" s="262">
        <f>G68*H68</f>
        <v>-30000000</v>
      </c>
      <c r="J68" s="262">
        <v>1</v>
      </c>
      <c r="K68" s="273">
        <f t="shared" ref="K68:K69" si="17">I68*J68</f>
        <v>-30000000</v>
      </c>
      <c r="S68" s="164"/>
      <c r="T68" s="164"/>
      <c r="U68" s="165"/>
      <c r="V68" s="164"/>
      <c r="W68" s="166"/>
      <c r="X68" s="164"/>
    </row>
    <row r="69" spans="1:24" ht="16.5" thickBot="1" x14ac:dyDescent="0.45">
      <c r="A69" s="274" t="s">
        <v>298</v>
      </c>
      <c r="B69" s="274"/>
      <c r="C69" s="274" t="s">
        <v>302</v>
      </c>
      <c r="D69" s="274" t="s">
        <v>315</v>
      </c>
      <c r="E69" s="274" t="s">
        <v>309</v>
      </c>
      <c r="F69" s="274"/>
      <c r="G69" s="275">
        <v>-200000</v>
      </c>
      <c r="H69" s="276">
        <v>1</v>
      </c>
      <c r="I69" s="277">
        <f>G69*H69</f>
        <v>-200000</v>
      </c>
      <c r="J69" s="277">
        <v>80</v>
      </c>
      <c r="K69" s="278">
        <f t="shared" si="17"/>
        <v>-16000000</v>
      </c>
      <c r="S69" s="164"/>
      <c r="T69" s="164"/>
      <c r="U69" s="165"/>
      <c r="V69" s="164"/>
      <c r="W69" s="166"/>
      <c r="X69" s="164"/>
    </row>
    <row r="70" spans="1:24" ht="16.5" thickTop="1" x14ac:dyDescent="0.4">
      <c r="A70" s="156"/>
      <c r="B70" s="156"/>
      <c r="C70" s="156"/>
      <c r="D70" s="156"/>
      <c r="E70" s="156"/>
      <c r="F70" s="156"/>
      <c r="G70" s="264"/>
      <c r="H70" s="264"/>
      <c r="I70" s="265"/>
      <c r="J70" s="279" t="s">
        <v>324</v>
      </c>
      <c r="K70" s="280">
        <f>SUM(K68:K69)</f>
        <v>-46000000</v>
      </c>
      <c r="R70" s="164"/>
      <c r="S70" s="164"/>
      <c r="T70" s="165"/>
      <c r="U70" s="164"/>
      <c r="V70" s="166"/>
      <c r="W70" s="164"/>
    </row>
    <row r="71" spans="1:24" ht="24" x14ac:dyDescent="0.4">
      <c r="A71" s="147" t="s">
        <v>115</v>
      </c>
      <c r="B71" s="216"/>
      <c r="C71" s="216"/>
      <c r="D71" s="216"/>
      <c r="E71" s="281"/>
      <c r="F71" s="216"/>
      <c r="G71" s="216"/>
      <c r="H71" s="216"/>
      <c r="I71" s="216"/>
      <c r="J71" s="282"/>
    </row>
    <row r="72" spans="1:24" x14ac:dyDescent="0.4">
      <c r="A72" s="283" t="s">
        <v>118</v>
      </c>
      <c r="B72" s="284"/>
      <c r="C72" s="284" t="s">
        <v>119</v>
      </c>
      <c r="D72" s="284"/>
      <c r="E72" s="284"/>
      <c r="F72" s="284"/>
      <c r="G72" s="284"/>
      <c r="H72" s="284"/>
      <c r="I72" s="284"/>
      <c r="J72" s="284"/>
    </row>
    <row r="73" spans="1:24" x14ac:dyDescent="0.4">
      <c r="A73" s="285">
        <v>43313</v>
      </c>
      <c r="B73" s="286"/>
      <c r="C73" s="196" t="s">
        <v>121</v>
      </c>
      <c r="D73" s="196"/>
      <c r="E73" s="196"/>
      <c r="F73" s="287"/>
      <c r="G73" s="192"/>
      <c r="H73" s="192"/>
      <c r="I73" s="192"/>
      <c r="J73" s="192"/>
    </row>
    <row r="74" spans="1:24" x14ac:dyDescent="0.4">
      <c r="A74" s="288">
        <v>43296</v>
      </c>
      <c r="B74" s="289"/>
      <c r="C74" s="156" t="s">
        <v>120</v>
      </c>
      <c r="D74" s="156"/>
      <c r="E74" s="156"/>
      <c r="F74" s="290"/>
      <c r="G74" s="291"/>
      <c r="H74" s="291"/>
      <c r="I74" s="291"/>
      <c r="J74" s="291"/>
    </row>
    <row r="75" spans="1:24" x14ac:dyDescent="0.4">
      <c r="A75" s="285">
        <v>43261</v>
      </c>
      <c r="B75" s="286"/>
      <c r="C75" s="196" t="s">
        <v>122</v>
      </c>
      <c r="D75" s="196"/>
      <c r="E75" s="196"/>
      <c r="F75" s="287"/>
      <c r="G75" s="192"/>
      <c r="H75" s="192"/>
      <c r="I75" s="192"/>
      <c r="J75" s="192"/>
    </row>
    <row r="76" spans="1:24" x14ac:dyDescent="0.4">
      <c r="A76" s="292">
        <v>43191</v>
      </c>
      <c r="B76" s="216"/>
      <c r="C76" s="216" t="s">
        <v>123</v>
      </c>
      <c r="D76" s="216"/>
      <c r="E76" s="216"/>
      <c r="F76" s="293"/>
    </row>
    <row r="77" spans="1:24" x14ac:dyDescent="0.4">
      <c r="A77" s="294" t="s">
        <v>116</v>
      </c>
      <c r="B77" s="196"/>
      <c r="C77" s="196" t="s">
        <v>124</v>
      </c>
      <c r="D77" s="196"/>
      <c r="E77" s="196"/>
      <c r="F77" s="287"/>
      <c r="G77" s="192"/>
      <c r="H77" s="192"/>
      <c r="I77" s="192"/>
      <c r="J77" s="192"/>
    </row>
    <row r="78" spans="1:24" x14ac:dyDescent="0.4">
      <c r="A78" s="295" t="s">
        <v>117</v>
      </c>
      <c r="B78" s="216"/>
      <c r="C78" s="156" t="s">
        <v>125</v>
      </c>
      <c r="D78" s="216"/>
      <c r="E78" s="216"/>
      <c r="F78" s="293"/>
    </row>
    <row r="79" spans="1:24" x14ac:dyDescent="0.4">
      <c r="A79" s="296">
        <v>43110</v>
      </c>
      <c r="B79" s="297"/>
      <c r="C79" s="297" t="s">
        <v>126</v>
      </c>
      <c r="D79" s="297"/>
      <c r="E79" s="297"/>
      <c r="F79" s="298"/>
      <c r="G79" s="297"/>
      <c r="H79" s="297"/>
      <c r="I79" s="297"/>
      <c r="J79" s="297"/>
    </row>
    <row r="80" spans="1:24" x14ac:dyDescent="0.4">
      <c r="A80" s="216"/>
      <c r="B80" s="216"/>
      <c r="C80" s="216"/>
      <c r="D80" s="216"/>
      <c r="E80" s="216"/>
      <c r="F80" s="293"/>
    </row>
    <row r="81" spans="1:6" x14ac:dyDescent="0.4">
      <c r="A81" s="216"/>
      <c r="B81" s="216"/>
      <c r="C81" s="216"/>
      <c r="D81" s="216"/>
      <c r="E81" s="216"/>
      <c r="F81" s="293"/>
    </row>
  </sheetData>
  <mergeCells count="13">
    <mergeCell ref="A41:B41"/>
    <mergeCell ref="B8:C8"/>
    <mergeCell ref="B9:C9"/>
    <mergeCell ref="B10:C10"/>
    <mergeCell ref="B11:C11"/>
    <mergeCell ref="B12:C12"/>
    <mergeCell ref="B19:C19"/>
    <mergeCell ref="B13:C13"/>
    <mergeCell ref="B14:C14"/>
    <mergeCell ref="B15:C15"/>
    <mergeCell ref="B16:C16"/>
    <mergeCell ref="B17:C17"/>
    <mergeCell ref="B18:C18"/>
  </mergeCells>
  <phoneticPr fontId="1"/>
  <pageMargins left="0.25" right="0.25" top="0.75" bottom="0.75" header="0.3" footer="0.3"/>
  <pageSetup paperSize="8" scale="62" fitToHeight="0" orientation="landscape" r:id="rId1"/>
  <headerFooter>
    <oddFooter>&amp;P / &amp;N ページ</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7A050-EF63-4E25-A53E-66E29C8F0751}">
  <sheetPr>
    <pageSetUpPr fitToPage="1"/>
  </sheetPr>
  <dimension ref="A1:P83"/>
  <sheetViews>
    <sheetView view="pageBreakPreview" zoomScaleNormal="100" zoomScaleSheetLayoutView="100" workbookViewId="0"/>
  </sheetViews>
  <sheetFormatPr defaultRowHeight="15.75" x14ac:dyDescent="0.4"/>
  <cols>
    <col min="1" max="1" width="25.625" style="141" customWidth="1"/>
    <col min="2" max="2" width="22.5" style="144" customWidth="1"/>
    <col min="3" max="16" width="28.125" style="143" customWidth="1"/>
    <col min="17" max="16384" width="9" style="72"/>
  </cols>
  <sheetData>
    <row r="1" spans="1:16" ht="31.5" x14ac:dyDescent="0.4">
      <c r="A1" s="68">
        <v>43343</v>
      </c>
      <c r="B1" s="69" t="s">
        <v>127</v>
      </c>
      <c r="C1" s="70" t="str">
        <f t="shared" ref="C1:P1" si="0">VLOOKUP(C2,id_list,2,FALSE)</f>
        <v>コアプラス池袋</v>
      </c>
      <c r="D1" s="70" t="str">
        <f t="shared" si="0"/>
        <v>大東京建託アパート池袋</v>
      </c>
      <c r="E1" s="70" t="str">
        <f t="shared" si="0"/>
        <v>大東京建託アパート目白</v>
      </c>
      <c r="F1" s="70" t="str">
        <f t="shared" si="0"/>
        <v>かぼちゃレジデンス池袋</v>
      </c>
      <c r="G1" s="70" t="str">
        <f t="shared" si="0"/>
        <v>かぼちゃレジデンス五反田</v>
      </c>
      <c r="H1" s="70" t="str">
        <f t="shared" si="0"/>
        <v>オープンマンション高田馬場</v>
      </c>
      <c r="I1" s="70" t="str">
        <f t="shared" si="0"/>
        <v>無限レジデンス大塚</v>
      </c>
      <c r="J1" s="70" t="str">
        <f t="shared" si="0"/>
        <v>ＡＤレジデンス池袋</v>
      </c>
      <c r="K1" s="71" t="str">
        <f t="shared" si="0"/>
        <v>かぼちゃタワー101</v>
      </c>
      <c r="L1" s="71" t="str">
        <f t="shared" si="0"/>
        <v>かぼちゃタワー102</v>
      </c>
      <c r="M1" s="71" t="str">
        <f t="shared" si="0"/>
        <v>ブリリア目白201</v>
      </c>
      <c r="N1" s="71" t="str">
        <f t="shared" si="0"/>
        <v>プラウド目白202</v>
      </c>
      <c r="O1" s="71" t="str">
        <f t="shared" si="0"/>
        <v>パークホームズ目白203</v>
      </c>
      <c r="P1" s="71" t="str">
        <f t="shared" si="0"/>
        <v>六本木ヒルズB棟3099</v>
      </c>
    </row>
    <row r="2" spans="1:16" ht="15" customHeight="1" x14ac:dyDescent="0.4">
      <c r="A2" s="73" t="s">
        <v>128</v>
      </c>
      <c r="B2" s="74">
        <f>COUNTA(C2:AZ2)</f>
        <v>14</v>
      </c>
      <c r="C2" s="75">
        <v>201</v>
      </c>
      <c r="D2" s="75">
        <v>202</v>
      </c>
      <c r="E2" s="75">
        <v>203</v>
      </c>
      <c r="F2" s="75">
        <v>204</v>
      </c>
      <c r="G2" s="75">
        <v>205</v>
      </c>
      <c r="H2" s="75">
        <v>206</v>
      </c>
      <c r="I2" s="75">
        <v>207</v>
      </c>
      <c r="J2" s="75">
        <v>208</v>
      </c>
      <c r="K2" s="75">
        <v>301</v>
      </c>
      <c r="L2" s="75">
        <v>302</v>
      </c>
      <c r="M2" s="75">
        <v>303</v>
      </c>
      <c r="N2" s="75">
        <v>304</v>
      </c>
      <c r="O2" s="75">
        <v>305</v>
      </c>
      <c r="P2" s="75">
        <v>306</v>
      </c>
    </row>
    <row r="3" spans="1:16" ht="15" customHeight="1" x14ac:dyDescent="0.4">
      <c r="A3" s="73" t="s">
        <v>759</v>
      </c>
      <c r="B3" s="74"/>
      <c r="C3" s="75">
        <v>401</v>
      </c>
      <c r="D3" s="75">
        <v>402</v>
      </c>
      <c r="E3" s="75">
        <v>403</v>
      </c>
      <c r="F3" s="75">
        <v>404</v>
      </c>
      <c r="G3" s="75">
        <v>405</v>
      </c>
      <c r="H3" s="75">
        <v>406</v>
      </c>
      <c r="I3" s="75">
        <v>401</v>
      </c>
      <c r="J3" s="75">
        <v>402</v>
      </c>
      <c r="K3" s="75">
        <v>403</v>
      </c>
      <c r="L3" s="75">
        <v>404</v>
      </c>
      <c r="M3" s="75">
        <v>405</v>
      </c>
      <c r="N3" s="75">
        <v>406</v>
      </c>
      <c r="O3" s="75">
        <v>401</v>
      </c>
      <c r="P3" s="75">
        <v>402</v>
      </c>
    </row>
    <row r="4" spans="1:16" ht="15" customHeight="1" x14ac:dyDescent="0.4">
      <c r="A4" s="73" t="s">
        <v>216</v>
      </c>
      <c r="B4" s="74"/>
      <c r="C4" s="75">
        <v>101</v>
      </c>
      <c r="D4" s="75">
        <v>101</v>
      </c>
      <c r="E4" s="75">
        <v>101</v>
      </c>
      <c r="F4" s="75">
        <v>104</v>
      </c>
      <c r="G4" s="75">
        <v>105</v>
      </c>
      <c r="H4" s="75">
        <v>106</v>
      </c>
      <c r="I4" s="75">
        <v>107</v>
      </c>
      <c r="J4" s="75">
        <v>108</v>
      </c>
      <c r="K4" s="75">
        <v>109</v>
      </c>
      <c r="L4" s="75">
        <v>110</v>
      </c>
      <c r="M4" s="75">
        <v>111</v>
      </c>
      <c r="N4" s="75">
        <v>112</v>
      </c>
      <c r="O4" s="75">
        <v>113</v>
      </c>
      <c r="P4" s="75">
        <v>114</v>
      </c>
    </row>
    <row r="5" spans="1:16" ht="15" customHeight="1" x14ac:dyDescent="0.4">
      <c r="A5" s="73" t="s">
        <v>219</v>
      </c>
      <c r="B5" s="74"/>
      <c r="C5" s="75">
        <v>106</v>
      </c>
      <c r="D5" s="75">
        <v>107</v>
      </c>
      <c r="E5" s="75"/>
      <c r="F5" s="75"/>
      <c r="G5" s="75"/>
      <c r="H5" s="75"/>
      <c r="I5" s="75"/>
      <c r="J5" s="75"/>
      <c r="K5" s="75"/>
      <c r="L5" s="75"/>
      <c r="M5" s="75"/>
      <c r="N5" s="75"/>
      <c r="O5" s="75"/>
      <c r="P5" s="75"/>
    </row>
    <row r="6" spans="1:16" x14ac:dyDescent="0.4">
      <c r="A6" s="76" t="s">
        <v>194</v>
      </c>
      <c r="B6" s="77"/>
      <c r="C6" s="77"/>
      <c r="D6" s="77"/>
      <c r="E6" s="77"/>
      <c r="F6" s="77"/>
      <c r="G6" s="77"/>
      <c r="H6" s="77"/>
      <c r="I6" s="77"/>
      <c r="J6" s="77"/>
      <c r="K6" s="77"/>
      <c r="L6" s="77"/>
      <c r="M6" s="77"/>
      <c r="N6" s="77"/>
      <c r="O6" s="77"/>
      <c r="P6" s="77"/>
    </row>
    <row r="7" spans="1:16" s="79" customFormat="1" ht="31.5" customHeight="1" x14ac:dyDescent="0.4">
      <c r="A7" s="78" t="s">
        <v>195</v>
      </c>
      <c r="B7" s="74"/>
      <c r="C7" s="75" t="str">
        <f t="shared" ref="C7:P7" si="1">VLOOKUP(C3,id_list,2,FALSE)</f>
        <v>コアプラス・アンド・アーキテクチャーズ株式会社</v>
      </c>
      <c r="D7" s="75" t="str">
        <f t="shared" si="1"/>
        <v>さんためエステート株式会社</v>
      </c>
      <c r="E7" s="75" t="str">
        <f t="shared" si="1"/>
        <v>よんためプロパティ株式会社</v>
      </c>
      <c r="F7" s="75" t="str">
        <f t="shared" si="1"/>
        <v>ごためランド株式会社</v>
      </c>
      <c r="G7" s="75" t="str">
        <f t="shared" si="1"/>
        <v>ろくためアセット株式会社</v>
      </c>
      <c r="H7" s="75" t="str">
        <f t="shared" si="1"/>
        <v>ななためマネジメント株式会社</v>
      </c>
      <c r="I7" s="75" t="str">
        <f t="shared" si="1"/>
        <v>コアプラス・アンド・アーキテクチャーズ株式会社</v>
      </c>
      <c r="J7" s="75" t="str">
        <f t="shared" si="1"/>
        <v>さんためエステート株式会社</v>
      </c>
      <c r="K7" s="75" t="str">
        <f t="shared" si="1"/>
        <v>よんためプロパティ株式会社</v>
      </c>
      <c r="L7" s="75" t="str">
        <f t="shared" si="1"/>
        <v>ごためランド株式会社</v>
      </c>
      <c r="M7" s="75" t="str">
        <f t="shared" si="1"/>
        <v>ろくためアセット株式会社</v>
      </c>
      <c r="N7" s="75" t="str">
        <f t="shared" si="1"/>
        <v>ななためマネジメント株式会社</v>
      </c>
      <c r="O7" s="75" t="str">
        <f t="shared" si="1"/>
        <v>コアプラス・アンド・アーキテクチャーズ株式会社</v>
      </c>
      <c r="P7" s="75" t="str">
        <f t="shared" si="1"/>
        <v>さんためエステート株式会社</v>
      </c>
    </row>
    <row r="8" spans="1:16" ht="31.5" x14ac:dyDescent="0.4">
      <c r="A8" s="73" t="s">
        <v>129</v>
      </c>
      <c r="B8" s="74"/>
      <c r="C8" s="75" t="str">
        <f t="shared" ref="C8:P8" si="2">VLOOKUP(C$2,id_list,5,FALSE)</f>
        <v>JR山手線
池袋駅8分</v>
      </c>
      <c r="D8" s="75" t="str">
        <f t="shared" si="2"/>
        <v>JR山手線
池袋駅10分</v>
      </c>
      <c r="E8" s="75" t="str">
        <f t="shared" si="2"/>
        <v>JR山手線
目白駅8分</v>
      </c>
      <c r="F8" s="75" t="str">
        <f t="shared" si="2"/>
        <v>JR山手線
池袋駅25分</v>
      </c>
      <c r="G8" s="75" t="str">
        <f t="shared" si="2"/>
        <v>JR山手線
五反田駅30分</v>
      </c>
      <c r="H8" s="75" t="str">
        <f t="shared" si="2"/>
        <v>JR山手線
高田馬場駅8分</v>
      </c>
      <c r="I8" s="75" t="str">
        <f t="shared" si="2"/>
        <v>JR山手線
大塚駅8分</v>
      </c>
      <c r="J8" s="75" t="str">
        <f t="shared" si="2"/>
        <v>JR山手線
池袋駅8分</v>
      </c>
      <c r="K8" s="75" t="str">
        <f t="shared" si="2"/>
        <v>JR山手線
池袋駅8分</v>
      </c>
      <c r="L8" s="75" t="str">
        <f t="shared" si="2"/>
        <v>JR山手線
池袋駅10分</v>
      </c>
      <c r="M8" s="75" t="str">
        <f t="shared" si="2"/>
        <v>JR山手線
目白駅8分</v>
      </c>
      <c r="N8" s="75" t="str">
        <f t="shared" si="2"/>
        <v>JR山手線
目白駅8分</v>
      </c>
      <c r="O8" s="75" t="str">
        <f t="shared" si="2"/>
        <v>JR山手線
目白駅8分</v>
      </c>
      <c r="P8" s="75" t="str">
        <f t="shared" si="2"/>
        <v>東京メトロ日比谷線
六本木駅3分</v>
      </c>
    </row>
    <row r="9" spans="1:16" ht="15" customHeight="1" x14ac:dyDescent="0.4">
      <c r="A9" s="73" t="s">
        <v>130</v>
      </c>
      <c r="B9" s="74"/>
      <c r="C9" s="75" t="str">
        <f t="shared" ref="C9:P9" si="3">VLOOKUP(C$2,id_list,6,FALSE)</f>
        <v>豊島区南池袋1-8-21</v>
      </c>
      <c r="D9" s="75" t="str">
        <f t="shared" si="3"/>
        <v>豊島区池袋1-2-3</v>
      </c>
      <c r="E9" s="75" t="str">
        <f t="shared" si="3"/>
        <v>豊島区目白1-5-1</v>
      </c>
      <c r="F9" s="75" t="str">
        <f t="shared" si="3"/>
        <v>豊島区池袋2-3-4</v>
      </c>
      <c r="G9" s="75" t="str">
        <f t="shared" si="3"/>
        <v>品川区五反田1-2-3</v>
      </c>
      <c r="H9" s="75" t="str">
        <f t="shared" si="3"/>
        <v>新宿区高田馬場1-2-3</v>
      </c>
      <c r="I9" s="75" t="str">
        <f t="shared" si="3"/>
        <v>豊島区大塚1-2-3</v>
      </c>
      <c r="J9" s="75" t="str">
        <f t="shared" si="3"/>
        <v>豊島区池袋1-2-3</v>
      </c>
      <c r="K9" s="75" t="str">
        <f t="shared" si="3"/>
        <v>豊島区南池袋1-8-21</v>
      </c>
      <c r="L9" s="75" t="str">
        <f t="shared" si="3"/>
        <v>豊島区池袋1-2-3</v>
      </c>
      <c r="M9" s="75" t="str">
        <f t="shared" si="3"/>
        <v>豊島区目白1-5-1</v>
      </c>
      <c r="N9" s="75" t="str">
        <f t="shared" si="3"/>
        <v>豊島区池袋2-3-4</v>
      </c>
      <c r="O9" s="75" t="str">
        <f t="shared" si="3"/>
        <v>品川区五反田1-2-3</v>
      </c>
      <c r="P9" s="75" t="str">
        <f t="shared" si="3"/>
        <v>新宿区高田馬場1-2-3</v>
      </c>
    </row>
    <row r="10" spans="1:16" ht="15" customHeight="1" x14ac:dyDescent="0.4">
      <c r="A10" s="73" t="s">
        <v>131</v>
      </c>
      <c r="B10" s="74"/>
      <c r="C10" s="75" t="str">
        <f t="shared" ref="C10:P10" si="4">VLOOKUP(C$2,id_list,7,FALSE)</f>
        <v>一棟</v>
      </c>
      <c r="D10" s="75" t="str">
        <f t="shared" si="4"/>
        <v>一棟</v>
      </c>
      <c r="E10" s="75" t="str">
        <f t="shared" si="4"/>
        <v>一棟</v>
      </c>
      <c r="F10" s="75" t="str">
        <f t="shared" si="4"/>
        <v>一棟</v>
      </c>
      <c r="G10" s="75" t="str">
        <f t="shared" si="4"/>
        <v>一棟</v>
      </c>
      <c r="H10" s="75" t="str">
        <f t="shared" si="4"/>
        <v>一棟</v>
      </c>
      <c r="I10" s="75" t="str">
        <f t="shared" si="4"/>
        <v>一棟</v>
      </c>
      <c r="J10" s="75" t="str">
        <f t="shared" si="4"/>
        <v>一棟</v>
      </c>
      <c r="K10" s="75" t="str">
        <f t="shared" si="4"/>
        <v>区分</v>
      </c>
      <c r="L10" s="75" t="str">
        <f t="shared" si="4"/>
        <v>区分</v>
      </c>
      <c r="M10" s="75" t="str">
        <f t="shared" si="4"/>
        <v>区分</v>
      </c>
      <c r="N10" s="75" t="str">
        <f t="shared" si="4"/>
        <v>区分</v>
      </c>
      <c r="O10" s="75" t="str">
        <f t="shared" si="4"/>
        <v>区分</v>
      </c>
      <c r="P10" s="75" t="str">
        <f t="shared" si="4"/>
        <v>区分</v>
      </c>
    </row>
    <row r="11" spans="1:16" ht="15" customHeight="1" x14ac:dyDescent="0.4">
      <c r="A11" s="73" t="s">
        <v>132</v>
      </c>
      <c r="B11" s="74"/>
      <c r="C11" s="75" t="str">
        <f t="shared" ref="C11:P11" si="5">VLOOKUP(C$2,id_list,8,FALSE)</f>
        <v>所有権</v>
      </c>
      <c r="D11" s="75" t="str">
        <f t="shared" si="5"/>
        <v>所有権</v>
      </c>
      <c r="E11" s="75" t="str">
        <f t="shared" si="5"/>
        <v>所有権</v>
      </c>
      <c r="F11" s="75" t="str">
        <f t="shared" si="5"/>
        <v>借地権</v>
      </c>
      <c r="G11" s="75" t="str">
        <f t="shared" si="5"/>
        <v>借地権</v>
      </c>
      <c r="H11" s="75" t="str">
        <f t="shared" si="5"/>
        <v>所有権</v>
      </c>
      <c r="I11" s="75" t="str">
        <f t="shared" si="5"/>
        <v>所有権</v>
      </c>
      <c r="J11" s="75" t="str">
        <f t="shared" si="5"/>
        <v>所有権</v>
      </c>
      <c r="K11" s="75" t="str">
        <f t="shared" si="5"/>
        <v>所有権</v>
      </c>
      <c r="L11" s="75" t="str">
        <f t="shared" si="5"/>
        <v>所有権</v>
      </c>
      <c r="M11" s="75" t="str">
        <f t="shared" si="5"/>
        <v>所有権</v>
      </c>
      <c r="N11" s="75" t="str">
        <f t="shared" si="5"/>
        <v>所有権</v>
      </c>
      <c r="O11" s="75" t="str">
        <f t="shared" si="5"/>
        <v>所有権</v>
      </c>
      <c r="P11" s="75" t="str">
        <f t="shared" si="5"/>
        <v>所有権</v>
      </c>
    </row>
    <row r="12" spans="1:16" ht="15" customHeight="1" x14ac:dyDescent="0.4">
      <c r="A12" s="73" t="s">
        <v>326</v>
      </c>
      <c r="B12" s="74"/>
      <c r="C12" s="75" t="str">
        <f t="shared" ref="C12:P12" si="6">VLOOKUP(C$2,id_list,9,FALSE)</f>
        <v>-</v>
      </c>
      <c r="D12" s="75" t="str">
        <f t="shared" si="6"/>
        <v>-</v>
      </c>
      <c r="E12" s="75" t="str">
        <f t="shared" si="6"/>
        <v>-</v>
      </c>
      <c r="F12" s="75" t="str">
        <f t="shared" si="6"/>
        <v>旧法借地・地代月30,000円</v>
      </c>
      <c r="G12" s="75" t="str">
        <f t="shared" si="6"/>
        <v>旧法借地・地代月30,000円</v>
      </c>
      <c r="H12" s="75" t="str">
        <f t="shared" si="6"/>
        <v>-</v>
      </c>
      <c r="I12" s="75" t="str">
        <f t="shared" si="6"/>
        <v>-</v>
      </c>
      <c r="J12" s="75" t="str">
        <f t="shared" si="6"/>
        <v>-</v>
      </c>
      <c r="K12" s="75" t="str">
        <f t="shared" si="6"/>
        <v>-</v>
      </c>
      <c r="L12" s="75" t="str">
        <f t="shared" si="6"/>
        <v>-</v>
      </c>
      <c r="M12" s="75" t="str">
        <f t="shared" si="6"/>
        <v>-</v>
      </c>
      <c r="N12" s="75" t="str">
        <f t="shared" si="6"/>
        <v>-</v>
      </c>
      <c r="O12" s="75" t="str">
        <f t="shared" si="6"/>
        <v>-</v>
      </c>
      <c r="P12" s="75" t="str">
        <f t="shared" si="6"/>
        <v>-</v>
      </c>
    </row>
    <row r="13" spans="1:16" ht="15" customHeight="1" x14ac:dyDescent="0.4">
      <c r="A13" s="73" t="s">
        <v>133</v>
      </c>
      <c r="B13" s="74"/>
      <c r="C13" s="80">
        <f>GETPIVOTDATA("合計 / 面積(評価証明)",Pivot!$A$2,"物件ID",C$2,"物件名",C$1,"クラス","土地")</f>
        <v>153</v>
      </c>
      <c r="D13" s="80">
        <f>GETPIVOTDATA("合計 / 面積(評価証明)",Pivot!$A$2,"物件ID",D$2,"物件名",D$1,"クラス","土地")</f>
        <v>123</v>
      </c>
      <c r="E13" s="80">
        <f>GETPIVOTDATA("合計 / 面積(評価証明)",Pivot!$A$2,"物件ID",E$2,"物件名",E$1,"クラス","土地")</f>
        <v>123</v>
      </c>
      <c r="F13" s="80">
        <f>GETPIVOTDATA("合計 / 面積(評価証明)",Pivot!$A$2,"物件ID",F$2,"物件名",F$1,"クラス","土地")</f>
        <v>123</v>
      </c>
      <c r="G13" s="80">
        <f>GETPIVOTDATA("合計 / 面積(評価証明)",Pivot!$A$2,"物件ID",G$2,"物件名",G$1,"クラス","土地")</f>
        <v>123</v>
      </c>
      <c r="H13" s="80">
        <f>GETPIVOTDATA("合計 / 面積(評価証明)",Pivot!$A$2,"物件ID",H$2,"物件名",H$1,"クラス","土地")</f>
        <v>123</v>
      </c>
      <c r="I13" s="80">
        <f>GETPIVOTDATA("合計 / 面積(評価証明)",Pivot!$A$2,"物件ID",I$2,"物件名",I$1,"クラス","土地")</f>
        <v>123</v>
      </c>
      <c r="J13" s="80">
        <f>GETPIVOTDATA("合計 / 面積(評価証明)",Pivot!$A$2,"物件ID",J$2,"物件名",J$1,"クラス","土地")</f>
        <v>123</v>
      </c>
      <c r="K13" s="80">
        <f>GETPIVOTDATA("合計 / 面積(評価証明)",Pivot!$A$2,"物件ID",K$2,"物件名",K$1,"クラス","土地")</f>
        <v>5000</v>
      </c>
      <c r="L13" s="80">
        <f>GETPIVOTDATA("合計 / 面積(評価証明)",Pivot!$A$2,"物件ID",L$2,"物件名",L$1,"クラス","土地")</f>
        <v>5000</v>
      </c>
      <c r="M13" s="80">
        <f>GETPIVOTDATA("合計 / 面積(評価証明)",Pivot!$A$2,"物件ID",M$2,"物件名",M$1,"クラス","土地")</f>
        <v>5000</v>
      </c>
      <c r="N13" s="80">
        <f>GETPIVOTDATA("合計 / 面積(評価証明)",Pivot!$A$2,"物件ID",N$2,"物件名",N$1,"クラス","土地")</f>
        <v>5000</v>
      </c>
      <c r="O13" s="80">
        <f>GETPIVOTDATA("合計 / 面積(評価証明)",Pivot!$A$2,"物件ID",O$2,"物件名",O$1,"クラス","土地")</f>
        <v>5000</v>
      </c>
      <c r="P13" s="80">
        <f>GETPIVOTDATA("合計 / 面積(評価証明)",Pivot!$A$2,"物件ID",P$2,"物件名",P$1,"クラス","土地")</f>
        <v>5000</v>
      </c>
    </row>
    <row r="14" spans="1:16" ht="15" customHeight="1" x14ac:dyDescent="0.4">
      <c r="A14" s="81" t="s">
        <v>134</v>
      </c>
      <c r="B14" s="82"/>
      <c r="C14" s="83">
        <f t="shared" ref="C14:P14" si="7">C13/3.30579</f>
        <v>46.28243173341319</v>
      </c>
      <c r="D14" s="83">
        <f t="shared" si="7"/>
        <v>37.207445119018452</v>
      </c>
      <c r="E14" s="83">
        <f t="shared" si="7"/>
        <v>37.207445119018452</v>
      </c>
      <c r="F14" s="83">
        <f t="shared" si="7"/>
        <v>37.207445119018452</v>
      </c>
      <c r="G14" s="83">
        <f t="shared" si="7"/>
        <v>37.207445119018452</v>
      </c>
      <c r="H14" s="83">
        <f t="shared" si="7"/>
        <v>37.207445119018452</v>
      </c>
      <c r="I14" s="83">
        <f t="shared" si="7"/>
        <v>37.207445119018452</v>
      </c>
      <c r="J14" s="83">
        <f t="shared" si="7"/>
        <v>37.207445119018452</v>
      </c>
      <c r="K14" s="83">
        <f t="shared" si="7"/>
        <v>1512.4977690657906</v>
      </c>
      <c r="L14" s="83">
        <f t="shared" si="7"/>
        <v>1512.4977690657906</v>
      </c>
      <c r="M14" s="83">
        <f t="shared" si="7"/>
        <v>1512.4977690657906</v>
      </c>
      <c r="N14" s="83">
        <f t="shared" si="7"/>
        <v>1512.4977690657906</v>
      </c>
      <c r="O14" s="83">
        <f t="shared" si="7"/>
        <v>1512.4977690657906</v>
      </c>
      <c r="P14" s="83">
        <f t="shared" si="7"/>
        <v>1512.4977690657906</v>
      </c>
    </row>
    <row r="15" spans="1:16" ht="15" customHeight="1" x14ac:dyDescent="0.4">
      <c r="A15" s="73" t="s">
        <v>135</v>
      </c>
      <c r="B15" s="74"/>
      <c r="C15" s="80">
        <f>GETPIVOTDATA("合計 / 面積(評価証明)",Pivot!$A$2,"物件ID",C$2,"物件名",C$1,"クラス","建物")</f>
        <v>200</v>
      </c>
      <c r="D15" s="80">
        <f>GETPIVOTDATA("合計 / 面積(評価証明)",Pivot!$A$2,"物件ID",D$2,"物件名",D$1,"クラス","建物")</f>
        <v>300</v>
      </c>
      <c r="E15" s="80">
        <f>GETPIVOTDATA("合計 / 面積(評価証明)",Pivot!$A$2,"物件ID",E$2,"物件名",E$1,"クラス","建物")</f>
        <v>300</v>
      </c>
      <c r="F15" s="80">
        <f>GETPIVOTDATA("合計 / 面積(評価証明)",Pivot!$A$2,"物件ID",F$2,"物件名",F$1,"クラス","建物")</f>
        <v>300</v>
      </c>
      <c r="G15" s="80">
        <f>GETPIVOTDATA("合計 / 面積(評価証明)",Pivot!$A$2,"物件ID",G$2,"物件名",G$1,"クラス","建物")</f>
        <v>300</v>
      </c>
      <c r="H15" s="80">
        <f>GETPIVOTDATA("合計 / 面積(評価証明)",Pivot!$A$2,"物件ID",H$2,"物件名",H$1,"クラス","建物")</f>
        <v>300</v>
      </c>
      <c r="I15" s="80">
        <f>GETPIVOTDATA("合計 / 面積(評価証明)",Pivot!$A$2,"物件ID",I$2,"物件名",I$1,"クラス","建物")</f>
        <v>300</v>
      </c>
      <c r="J15" s="80">
        <f>GETPIVOTDATA("合計 / 面積(評価証明)",Pivot!$A$2,"物件ID",J$2,"物件名",J$1,"クラス","建物")</f>
        <v>300</v>
      </c>
      <c r="K15" s="80">
        <f>GETPIVOTDATA("合計 / 面積(評価証明)",Pivot!$A$2,"物件ID",K$2,"物件名",K$1,"クラス","建物")</f>
        <v>4000</v>
      </c>
      <c r="L15" s="80">
        <f>GETPIVOTDATA("合計 / 面積(評価証明)",Pivot!$A$2,"物件ID",L$2,"物件名",L$1,"クラス","建物")</f>
        <v>4000</v>
      </c>
      <c r="M15" s="80">
        <f>GETPIVOTDATA("合計 / 面積(評価証明)",Pivot!$A$2,"物件ID",M$2,"物件名",M$1,"クラス","建物")</f>
        <v>4000</v>
      </c>
      <c r="N15" s="80">
        <f>GETPIVOTDATA("合計 / 面積(評価証明)",Pivot!$A$2,"物件ID",N$2,"物件名",N$1,"クラス","建物")</f>
        <v>4000</v>
      </c>
      <c r="O15" s="80">
        <f>GETPIVOTDATA("合計 / 面積(評価証明)",Pivot!$A$2,"物件ID",O$2,"物件名",O$1,"クラス","建物")</f>
        <v>4000</v>
      </c>
      <c r="P15" s="80">
        <f>GETPIVOTDATA("合計 / 面積(評価証明)",Pivot!$A$2,"物件ID",P$2,"物件名",P$1,"クラス","建物")</f>
        <v>4000</v>
      </c>
    </row>
    <row r="16" spans="1:16" ht="15" customHeight="1" x14ac:dyDescent="0.4">
      <c r="A16" s="73" t="s">
        <v>136</v>
      </c>
      <c r="B16" s="74"/>
      <c r="C16" s="75" t="str">
        <f t="shared" ref="C16:P16" si="8">VLOOKUP(C$2,id_list,10,FALSE)</f>
        <v>RC/1-3F</v>
      </c>
      <c r="D16" s="75" t="str">
        <f t="shared" si="8"/>
        <v>木造/1-2F</v>
      </c>
      <c r="E16" s="75" t="str">
        <f t="shared" si="8"/>
        <v>鉄骨/B1-2F</v>
      </c>
      <c r="F16" s="75" t="str">
        <f t="shared" si="8"/>
        <v>RC/1-3F</v>
      </c>
      <c r="G16" s="75" t="str">
        <f t="shared" si="8"/>
        <v>木造/1-2F</v>
      </c>
      <c r="H16" s="75" t="str">
        <f t="shared" si="8"/>
        <v>鉄骨/B1-2F</v>
      </c>
      <c r="I16" s="75" t="str">
        <f t="shared" si="8"/>
        <v>RC/1-3F</v>
      </c>
      <c r="J16" s="75" t="str">
        <f t="shared" si="8"/>
        <v>木造/1-2F</v>
      </c>
      <c r="K16" s="75" t="str">
        <f t="shared" si="8"/>
        <v>RC/1-3F</v>
      </c>
      <c r="L16" s="75" t="str">
        <f t="shared" si="8"/>
        <v>RC/1-3F</v>
      </c>
      <c r="M16" s="75" t="str">
        <f t="shared" si="8"/>
        <v>RC/1-3F</v>
      </c>
      <c r="N16" s="75" t="str">
        <f t="shared" si="8"/>
        <v>RC/1-3F</v>
      </c>
      <c r="O16" s="75" t="str">
        <f t="shared" si="8"/>
        <v>RC/1-3F</v>
      </c>
      <c r="P16" s="75" t="str">
        <f t="shared" si="8"/>
        <v>RC/1-99F</v>
      </c>
    </row>
    <row r="17" spans="1:16" ht="15" customHeight="1" x14ac:dyDescent="0.4">
      <c r="A17" s="73" t="s">
        <v>137</v>
      </c>
      <c r="B17" s="74"/>
      <c r="C17" s="84">
        <f t="shared" ref="C17:P17" si="9">VLOOKUP(C$2,id_list,11,FALSE)</f>
        <v>32875</v>
      </c>
      <c r="D17" s="84">
        <f t="shared" si="9"/>
        <v>33241</v>
      </c>
      <c r="E17" s="84">
        <f t="shared" si="9"/>
        <v>33607</v>
      </c>
      <c r="F17" s="84">
        <f t="shared" si="9"/>
        <v>33974</v>
      </c>
      <c r="G17" s="84">
        <f t="shared" si="9"/>
        <v>34340</v>
      </c>
      <c r="H17" s="84">
        <f t="shared" si="9"/>
        <v>34706</v>
      </c>
      <c r="I17" s="84">
        <f t="shared" si="9"/>
        <v>35072</v>
      </c>
      <c r="J17" s="84">
        <f t="shared" si="9"/>
        <v>35439</v>
      </c>
      <c r="K17" s="84">
        <f t="shared" si="9"/>
        <v>33607</v>
      </c>
      <c r="L17" s="84">
        <f t="shared" si="9"/>
        <v>33974</v>
      </c>
      <c r="M17" s="84">
        <f t="shared" si="9"/>
        <v>34340</v>
      </c>
      <c r="N17" s="84">
        <f t="shared" si="9"/>
        <v>34706</v>
      </c>
      <c r="O17" s="84">
        <f t="shared" si="9"/>
        <v>35072</v>
      </c>
      <c r="P17" s="84">
        <f t="shared" si="9"/>
        <v>35439</v>
      </c>
    </row>
    <row r="18" spans="1:16" ht="15" customHeight="1" x14ac:dyDescent="0.4">
      <c r="A18" s="81" t="s">
        <v>138</v>
      </c>
      <c r="B18" s="85">
        <f ca="1">AVERAGE(C18:AZ18)</f>
        <v>24.071428571428573</v>
      </c>
      <c r="C18" s="86">
        <f t="shared" ref="C18:P18" ca="1" si="10">DATEDIF(C17,TODAY(),"Y")</f>
        <v>28</v>
      </c>
      <c r="D18" s="86">
        <f t="shared" ca="1" si="10"/>
        <v>27</v>
      </c>
      <c r="E18" s="86">
        <f t="shared" ca="1" si="10"/>
        <v>26</v>
      </c>
      <c r="F18" s="86">
        <f t="shared" ca="1" si="10"/>
        <v>25</v>
      </c>
      <c r="G18" s="86">
        <f t="shared" ca="1" si="10"/>
        <v>24</v>
      </c>
      <c r="H18" s="86">
        <f t="shared" ca="1" si="10"/>
        <v>23</v>
      </c>
      <c r="I18" s="86">
        <f t="shared" ca="1" si="10"/>
        <v>22</v>
      </c>
      <c r="J18" s="86">
        <f t="shared" ca="1" si="10"/>
        <v>21</v>
      </c>
      <c r="K18" s="86">
        <f t="shared" ca="1" si="10"/>
        <v>26</v>
      </c>
      <c r="L18" s="86">
        <f t="shared" ca="1" si="10"/>
        <v>25</v>
      </c>
      <c r="M18" s="86">
        <f t="shared" ca="1" si="10"/>
        <v>24</v>
      </c>
      <c r="N18" s="86">
        <f t="shared" ca="1" si="10"/>
        <v>23</v>
      </c>
      <c r="O18" s="86">
        <f t="shared" ca="1" si="10"/>
        <v>22</v>
      </c>
      <c r="P18" s="86">
        <f t="shared" ca="1" si="10"/>
        <v>21</v>
      </c>
    </row>
    <row r="19" spans="1:16" ht="15" customHeight="1" x14ac:dyDescent="0.4">
      <c r="A19" s="73" t="s">
        <v>139</v>
      </c>
      <c r="B19" s="74">
        <f>SUM(C19:AZ19)</f>
        <v>120</v>
      </c>
      <c r="C19" s="75">
        <f>GETPIVOTDATA("クラス大分類",Pivot!$K$2,"ID",C$2)</f>
        <v>15</v>
      </c>
      <c r="D19" s="75">
        <f>GETPIVOTDATA("クラス大分類",Pivot!$K$2,"ID",D$2)</f>
        <v>14</v>
      </c>
      <c r="E19" s="75">
        <f>GETPIVOTDATA("クラス大分類",Pivot!$K$2,"ID",E$2)</f>
        <v>14</v>
      </c>
      <c r="F19" s="75">
        <f>GETPIVOTDATA("クラス大分類",Pivot!$K$2,"ID",F$2)</f>
        <v>14</v>
      </c>
      <c r="G19" s="75">
        <f>GETPIVOTDATA("クラス大分類",Pivot!$K$2,"ID",G$2)</f>
        <v>14</v>
      </c>
      <c r="H19" s="75">
        <f>GETPIVOTDATA("クラス大分類",Pivot!$K$2,"ID",H$2)</f>
        <v>14</v>
      </c>
      <c r="I19" s="75">
        <f>GETPIVOTDATA("クラス大分類",Pivot!$K$2,"ID",I$2)</f>
        <v>14</v>
      </c>
      <c r="J19" s="75">
        <f>GETPIVOTDATA("クラス大分類",Pivot!$K$2,"ID",J$2)</f>
        <v>14</v>
      </c>
      <c r="K19" s="75">
        <f>GETPIVOTDATA("クラス大分類",Pivot!$K$2,"ID",K$2)</f>
        <v>1</v>
      </c>
      <c r="L19" s="75">
        <f>GETPIVOTDATA("クラス大分類",Pivot!$K$2,"ID",L$2)</f>
        <v>1</v>
      </c>
      <c r="M19" s="75">
        <f>GETPIVOTDATA("クラス大分類",Pivot!$K$2,"ID",M$2)</f>
        <v>1</v>
      </c>
      <c r="N19" s="75">
        <f>GETPIVOTDATA("クラス大分類",Pivot!$K$2,"ID",N$2)</f>
        <v>1</v>
      </c>
      <c r="O19" s="75">
        <f>GETPIVOTDATA("クラス大分類",Pivot!$K$2,"ID",O$2)</f>
        <v>1</v>
      </c>
      <c r="P19" s="75">
        <f>GETPIVOTDATA("クラス大分類",Pivot!$K$2,"ID",P$2)</f>
        <v>2</v>
      </c>
    </row>
    <row r="20" spans="1:16" ht="15" customHeight="1" x14ac:dyDescent="0.4">
      <c r="A20" s="73" t="s">
        <v>495</v>
      </c>
      <c r="B20" s="74">
        <f t="shared" ref="B20:B23" si="11">SUM(C20:AZ20)</f>
        <v>46</v>
      </c>
      <c r="C20" s="75">
        <f>GETPIVOTDATA("クラス大分類",Pivot!$K$2,"ID",C$2,"クラス大分類","住居")</f>
        <v>5</v>
      </c>
      <c r="D20" s="75">
        <f>GETPIVOTDATA("クラス大分類",Pivot!$K$2,"ID",D$2,"クラス大分類","住居")</f>
        <v>5</v>
      </c>
      <c r="E20" s="75">
        <f>GETPIVOTDATA("クラス大分類",Pivot!$K$2,"ID",E$2,"クラス大分類","住居")</f>
        <v>5</v>
      </c>
      <c r="F20" s="75">
        <f>GETPIVOTDATA("クラス大分類",Pivot!$K$2,"ID",F$2,"クラス大分類","住居")</f>
        <v>5</v>
      </c>
      <c r="G20" s="75">
        <f>GETPIVOTDATA("クラス大分類",Pivot!$K$2,"ID",G$2,"クラス大分類","住居")</f>
        <v>5</v>
      </c>
      <c r="H20" s="75">
        <f>GETPIVOTDATA("クラス大分類",Pivot!$K$2,"ID",H$2,"クラス大分類","住居")</f>
        <v>5</v>
      </c>
      <c r="I20" s="75">
        <f>GETPIVOTDATA("クラス大分類",Pivot!$K$2,"ID",I$2,"クラス大分類","住居")</f>
        <v>5</v>
      </c>
      <c r="J20" s="75">
        <f>GETPIVOTDATA("クラス大分類",Pivot!$K$2,"ID",J$2,"クラス大分類","住居")</f>
        <v>5</v>
      </c>
      <c r="K20" s="75">
        <f>GETPIVOTDATA("クラス大分類",Pivot!$K$2,"ID",K$2,"クラス大分類","住居")</f>
        <v>1</v>
      </c>
      <c r="L20" s="75">
        <f>GETPIVOTDATA("クラス大分類",Pivot!$K$2,"ID",L$2,"クラス大分類","住居")</f>
        <v>1</v>
      </c>
      <c r="M20" s="75">
        <f>GETPIVOTDATA("クラス大分類",Pivot!$K$2,"ID",M$2,"クラス大分類","住居")</f>
        <v>1</v>
      </c>
      <c r="N20" s="75">
        <f>GETPIVOTDATA("クラス大分類",Pivot!$K$2,"ID",N$2,"クラス大分類","住居")</f>
        <v>1</v>
      </c>
      <c r="O20" s="75">
        <f>GETPIVOTDATA("クラス大分類",Pivot!$K$2,"ID",O$2,"クラス大分類","住居")</f>
        <v>1</v>
      </c>
      <c r="P20" s="75">
        <f>GETPIVOTDATA("クラス大分類",Pivot!$K$2,"ID",P$2,"クラス大分類","住居")</f>
        <v>1</v>
      </c>
    </row>
    <row r="21" spans="1:16" ht="15" customHeight="1" x14ac:dyDescent="0.4">
      <c r="A21" s="73" t="s">
        <v>496</v>
      </c>
      <c r="B21" s="74">
        <f t="shared" si="11"/>
        <v>24</v>
      </c>
      <c r="C21" s="75">
        <f>GETPIVOTDATA("クラス大分類",Pivot!$K$2,"ID",C$2,"クラス大分類","事務所/店舗")</f>
        <v>3</v>
      </c>
      <c r="D21" s="75">
        <f>GETPIVOTDATA("クラス大分類",Pivot!$K$2,"ID",D$2,"クラス大分類","事務所/店舗")</f>
        <v>3</v>
      </c>
      <c r="E21" s="75">
        <f>GETPIVOTDATA("クラス大分類",Pivot!$K$2,"ID",E$2,"クラス大分類","事務所/店舗")</f>
        <v>3</v>
      </c>
      <c r="F21" s="75">
        <f>GETPIVOTDATA("クラス大分類",Pivot!$K$2,"ID",F$2,"クラス大分類","事務所/店舗")</f>
        <v>3</v>
      </c>
      <c r="G21" s="75">
        <f>GETPIVOTDATA("クラス大分類",Pivot!$K$2,"ID",G$2,"クラス大分類","事務所/店舗")</f>
        <v>3</v>
      </c>
      <c r="H21" s="75">
        <f>GETPIVOTDATA("クラス大分類",Pivot!$K$2,"ID",H$2,"クラス大分類","事務所/店舗")</f>
        <v>3</v>
      </c>
      <c r="I21" s="75">
        <f>GETPIVOTDATA("クラス大分類",Pivot!$K$2,"ID",I$2,"クラス大分類","事務所/店舗")</f>
        <v>3</v>
      </c>
      <c r="J21" s="75">
        <f>GETPIVOTDATA("クラス大分類",Pivot!$K$2,"ID",J$2,"クラス大分類","事務所/店舗")</f>
        <v>3</v>
      </c>
      <c r="K21" s="75">
        <f>GETPIVOTDATA("クラス大分類",Pivot!$K$2,"ID",K$2,"クラス大分類","事務所/店舗")</f>
        <v>0</v>
      </c>
      <c r="L21" s="75">
        <f>GETPIVOTDATA("クラス大分類",Pivot!$K$2,"ID",L$2,"クラス大分類","事務所/店舗")</f>
        <v>0</v>
      </c>
      <c r="M21" s="75">
        <f>GETPIVOTDATA("クラス大分類",Pivot!$K$2,"ID",M$2,"クラス大分類","事務所/店舗")</f>
        <v>0</v>
      </c>
      <c r="N21" s="75">
        <f>GETPIVOTDATA("クラス大分類",Pivot!$K$2,"ID",N$2,"クラス大分類","事務所/店舗")</f>
        <v>0</v>
      </c>
      <c r="O21" s="75">
        <f>GETPIVOTDATA("クラス大分類",Pivot!$K$2,"ID",O$2,"クラス大分類","事務所/店舗")</f>
        <v>0</v>
      </c>
      <c r="P21" s="75">
        <f>GETPIVOTDATA("クラス大分類",Pivot!$K$2,"ID",P$2,"クラス大分類","事務所/店舗")</f>
        <v>0</v>
      </c>
    </row>
    <row r="22" spans="1:16" ht="15" customHeight="1" x14ac:dyDescent="0.4">
      <c r="A22" s="73" t="s">
        <v>497</v>
      </c>
      <c r="B22" s="74">
        <f t="shared" si="11"/>
        <v>16</v>
      </c>
      <c r="C22" s="75">
        <f>GETPIVOTDATA("クラス大分類",Pivot!$K$2,"ID",C$2,"クラス大分類","オペレーショナル")</f>
        <v>2</v>
      </c>
      <c r="D22" s="75">
        <f>GETPIVOTDATA("クラス大分類",Pivot!$K$2,"ID",D$2,"クラス大分類","オペレーショナル")</f>
        <v>2</v>
      </c>
      <c r="E22" s="75">
        <f>GETPIVOTDATA("クラス大分類",Pivot!$K$2,"ID",E$2,"クラス大分類","オペレーショナル")</f>
        <v>2</v>
      </c>
      <c r="F22" s="75">
        <f>GETPIVOTDATA("クラス大分類",Pivot!$K$2,"ID",F$2,"クラス大分類","オペレーショナル")</f>
        <v>2</v>
      </c>
      <c r="G22" s="75">
        <f>GETPIVOTDATA("クラス大分類",Pivot!$K$2,"ID",G$2,"クラス大分類","オペレーショナル")</f>
        <v>2</v>
      </c>
      <c r="H22" s="75">
        <f>GETPIVOTDATA("クラス大分類",Pivot!$K$2,"ID",H$2,"クラス大分類","オペレーショナル")</f>
        <v>2</v>
      </c>
      <c r="I22" s="75">
        <f>GETPIVOTDATA("クラス大分類",Pivot!$K$2,"ID",I$2,"クラス大分類","オペレーショナル")</f>
        <v>2</v>
      </c>
      <c r="J22" s="75">
        <f>GETPIVOTDATA("クラス大分類",Pivot!$K$2,"ID",J$2,"クラス大分類","オペレーショナル")</f>
        <v>2</v>
      </c>
      <c r="K22" s="75">
        <f>GETPIVOTDATA("クラス大分類",Pivot!$K$2,"ID",K$2,"クラス大分類","オペレーショナル")</f>
        <v>0</v>
      </c>
      <c r="L22" s="75">
        <f>GETPIVOTDATA("クラス大分類",Pivot!$K$2,"ID",L$2,"クラス大分類","オペレーショナル")</f>
        <v>0</v>
      </c>
      <c r="M22" s="75">
        <f>GETPIVOTDATA("クラス大分類",Pivot!$K$2,"ID",M$2,"クラス大分類","オペレーショナル")</f>
        <v>0</v>
      </c>
      <c r="N22" s="75">
        <f>GETPIVOTDATA("クラス大分類",Pivot!$K$2,"ID",N$2,"クラス大分類","オペレーショナル")</f>
        <v>0</v>
      </c>
      <c r="O22" s="75">
        <f>GETPIVOTDATA("クラス大分類",Pivot!$K$2,"ID",O$2,"クラス大分類","オペレーショナル")</f>
        <v>0</v>
      </c>
      <c r="P22" s="75">
        <f>GETPIVOTDATA("クラス大分類",Pivot!$K$2,"ID",P$2,"クラス大分類","オペレーショナル")</f>
        <v>0</v>
      </c>
    </row>
    <row r="23" spans="1:16" ht="15" customHeight="1" x14ac:dyDescent="0.4">
      <c r="A23" s="73" t="s">
        <v>498</v>
      </c>
      <c r="B23" s="74">
        <f t="shared" si="11"/>
        <v>9</v>
      </c>
      <c r="C23" s="75">
        <f>GETPIVOTDATA("クラス大分類",Pivot!$K$2,"ID",C$2,"クラス大分類","その他")</f>
        <v>2</v>
      </c>
      <c r="D23" s="75">
        <f>GETPIVOTDATA("クラス大分類",Pivot!$K$2,"ID",D$2,"クラス大分類","その他")</f>
        <v>1</v>
      </c>
      <c r="E23" s="75">
        <f>GETPIVOTDATA("クラス大分類",Pivot!$K$2,"ID",E$2,"クラス大分類","その他")</f>
        <v>1</v>
      </c>
      <c r="F23" s="75">
        <f>GETPIVOTDATA("クラス大分類",Pivot!$K$2,"ID",F$2,"クラス大分類","その他")</f>
        <v>1</v>
      </c>
      <c r="G23" s="75">
        <f>GETPIVOTDATA("クラス大分類",Pivot!$K$2,"ID",G$2,"クラス大分類","その他")</f>
        <v>1</v>
      </c>
      <c r="H23" s="75">
        <f>GETPIVOTDATA("クラス大分類",Pivot!$K$2,"ID",H$2,"クラス大分類","その他")</f>
        <v>1</v>
      </c>
      <c r="I23" s="75">
        <f>GETPIVOTDATA("クラス大分類",Pivot!$K$2,"ID",I$2,"クラス大分類","その他")</f>
        <v>1</v>
      </c>
      <c r="J23" s="75">
        <f>GETPIVOTDATA("クラス大分類",Pivot!$K$2,"ID",J$2,"クラス大分類","その他")</f>
        <v>1</v>
      </c>
      <c r="K23" s="75">
        <f>GETPIVOTDATA("クラス大分類",Pivot!$K$2,"ID",K$2,"クラス大分類","その他")</f>
        <v>0</v>
      </c>
      <c r="L23" s="75">
        <f>GETPIVOTDATA("クラス大分類",Pivot!$K$2,"ID",L$2,"クラス大分類","その他")</f>
        <v>0</v>
      </c>
      <c r="M23" s="75">
        <f>GETPIVOTDATA("クラス大分類",Pivot!$K$2,"ID",M$2,"クラス大分類","その他")</f>
        <v>0</v>
      </c>
      <c r="N23" s="75">
        <f>GETPIVOTDATA("クラス大分類",Pivot!$K$2,"ID",N$2,"クラス大分類","その他")</f>
        <v>0</v>
      </c>
      <c r="O23" s="75">
        <f>GETPIVOTDATA("クラス大分類",Pivot!$K$2,"ID",O$2,"クラス大分類","その他")</f>
        <v>0</v>
      </c>
      <c r="P23" s="75">
        <f>GETPIVOTDATA("クラス大分類",Pivot!$K$2,"ID",P$2,"クラス大分類","その他")</f>
        <v>0</v>
      </c>
    </row>
    <row r="24" spans="1:16" ht="15" customHeight="1" x14ac:dyDescent="0.4">
      <c r="A24" s="73" t="s">
        <v>499</v>
      </c>
      <c r="B24" s="74">
        <f>SUM(C24:AZ24)</f>
        <v>25</v>
      </c>
      <c r="C24" s="75">
        <f>GETPIVOTDATA("クラス大分類",Pivot!$K$2,"ID",C$2,"クラス大分類","駐車場")</f>
        <v>3</v>
      </c>
      <c r="D24" s="75">
        <f>GETPIVOTDATA("クラス大分類",Pivot!$K$2,"ID",D$2,"クラス大分類","駐車場")</f>
        <v>3</v>
      </c>
      <c r="E24" s="75">
        <f>GETPIVOTDATA("クラス大分類",Pivot!$K$2,"ID",E$2,"クラス大分類","駐車場")</f>
        <v>3</v>
      </c>
      <c r="F24" s="75">
        <f>GETPIVOTDATA("クラス大分類",Pivot!$K$2,"ID",F$2,"クラス大分類","駐車場")</f>
        <v>3</v>
      </c>
      <c r="G24" s="75">
        <f>GETPIVOTDATA("クラス大分類",Pivot!$K$2,"ID",G$2,"クラス大分類","駐車場")</f>
        <v>3</v>
      </c>
      <c r="H24" s="75">
        <f>GETPIVOTDATA("クラス大分類",Pivot!$K$2,"ID",H$2,"クラス大分類","駐車場")</f>
        <v>3</v>
      </c>
      <c r="I24" s="75">
        <f>GETPIVOTDATA("クラス大分類",Pivot!$K$2,"ID",I$2,"クラス大分類","駐車場")</f>
        <v>3</v>
      </c>
      <c r="J24" s="75">
        <f>GETPIVOTDATA("クラス大分類",Pivot!$K$2,"ID",J$2,"クラス大分類","駐車場")</f>
        <v>3</v>
      </c>
      <c r="K24" s="75">
        <f>GETPIVOTDATA("クラス大分類",Pivot!$K$2,"ID",K$2,"クラス大分類","駐車場")</f>
        <v>0</v>
      </c>
      <c r="L24" s="75">
        <f>GETPIVOTDATA("クラス大分類",Pivot!$K$2,"ID",L$2,"クラス大分類","駐車場")</f>
        <v>0</v>
      </c>
      <c r="M24" s="75">
        <f>GETPIVOTDATA("クラス大分類",Pivot!$K$2,"ID",M$2,"クラス大分類","駐車場")</f>
        <v>0</v>
      </c>
      <c r="N24" s="75">
        <f>GETPIVOTDATA("クラス大分類",Pivot!$K$2,"ID",N$2,"クラス大分類","駐車場")</f>
        <v>0</v>
      </c>
      <c r="O24" s="75">
        <f>GETPIVOTDATA("クラス大分類",Pivot!$K$2,"ID",O$2,"クラス大分類","駐車場")</f>
        <v>0</v>
      </c>
      <c r="P24" s="75">
        <f>GETPIVOTDATA("クラス大分類",Pivot!$K$2,"ID",P$2,"クラス大分類","駐車場")</f>
        <v>1</v>
      </c>
    </row>
    <row r="25" spans="1:16" ht="15" customHeight="1" x14ac:dyDescent="0.4">
      <c r="A25" s="73" t="s">
        <v>141</v>
      </c>
      <c r="B25" s="87"/>
      <c r="C25" s="88" t="str">
        <f t="shared" ref="C25:P25" si="12">VLOOKUP(C$2,id_list,12,FALSE)</f>
        <v>長期保有</v>
      </c>
      <c r="D25" s="88" t="str">
        <f t="shared" si="12"/>
        <v>長期保有</v>
      </c>
      <c r="E25" s="88" t="str">
        <f t="shared" si="12"/>
        <v>長期保有</v>
      </c>
      <c r="F25" s="88" t="str">
        <f t="shared" si="12"/>
        <v>売却予定</v>
      </c>
      <c r="G25" s="88" t="str">
        <f t="shared" si="12"/>
        <v>売却予定</v>
      </c>
      <c r="H25" s="88" t="str">
        <f t="shared" si="12"/>
        <v>長期保有</v>
      </c>
      <c r="I25" s="88" t="str">
        <f t="shared" si="12"/>
        <v>長期保有</v>
      </c>
      <c r="J25" s="88" t="str">
        <f t="shared" si="12"/>
        <v>長期保有</v>
      </c>
      <c r="K25" s="88" t="str">
        <f t="shared" si="12"/>
        <v>長期保有</v>
      </c>
      <c r="L25" s="88" t="str">
        <f t="shared" si="12"/>
        <v>長期保有</v>
      </c>
      <c r="M25" s="88" t="str">
        <f t="shared" si="12"/>
        <v>長期保有</v>
      </c>
      <c r="N25" s="88" t="str">
        <f t="shared" si="12"/>
        <v>長期保有</v>
      </c>
      <c r="O25" s="88" t="str">
        <f t="shared" si="12"/>
        <v>長期保有</v>
      </c>
      <c r="P25" s="88" t="str">
        <f t="shared" si="12"/>
        <v>社長自宅</v>
      </c>
    </row>
    <row r="26" spans="1:16" x14ac:dyDescent="0.4">
      <c r="A26" s="76" t="s">
        <v>142</v>
      </c>
      <c r="B26" s="77"/>
      <c r="C26" s="89"/>
      <c r="D26" s="89"/>
      <c r="E26" s="89"/>
      <c r="F26" s="89"/>
      <c r="G26" s="89"/>
      <c r="H26" s="89"/>
      <c r="I26" s="89"/>
      <c r="J26" s="89"/>
      <c r="K26" s="89"/>
      <c r="L26" s="89"/>
      <c r="M26" s="89"/>
      <c r="N26" s="89"/>
      <c r="O26" s="89"/>
      <c r="P26" s="89"/>
    </row>
    <row r="27" spans="1:16" ht="15" customHeight="1" x14ac:dyDescent="0.4">
      <c r="A27" s="81" t="s">
        <v>143</v>
      </c>
      <c r="B27" s="90">
        <f>SUM(C27:AZ27)</f>
        <v>174588000</v>
      </c>
      <c r="C27" s="91">
        <f>GETPIVOTDATA("合計 / 現況賃料計",Pivot!$G$2,"ID",C$2)*12</f>
        <v>19879200</v>
      </c>
      <c r="D27" s="91">
        <f>GETPIVOTDATA("合計 / 現況賃料計",Pivot!$G$2,"ID",D$2)*12</f>
        <v>19490400</v>
      </c>
      <c r="E27" s="91">
        <f>GETPIVOTDATA("合計 / 現況賃料計",Pivot!$G$2,"ID",E$2)*12</f>
        <v>19490400</v>
      </c>
      <c r="F27" s="91">
        <f>GETPIVOTDATA("合計 / 現況賃料計",Pivot!$G$2,"ID",F$2)*12</f>
        <v>19490400</v>
      </c>
      <c r="G27" s="91">
        <f>GETPIVOTDATA("合計 / 現況賃料計",Pivot!$G$2,"ID",G$2)*12</f>
        <v>19490400</v>
      </c>
      <c r="H27" s="91">
        <f>GETPIVOTDATA("合計 / 現況賃料計",Pivot!$G$2,"ID",H$2)*12</f>
        <v>19490400</v>
      </c>
      <c r="I27" s="91">
        <f>GETPIVOTDATA("合計 / 現況賃料計",Pivot!$G$2,"ID",I$2)*12</f>
        <v>19490400</v>
      </c>
      <c r="J27" s="91">
        <f>GETPIVOTDATA("合計 / 現況賃料計",Pivot!$G$2,"ID",J$2)*12</f>
        <v>19490400</v>
      </c>
      <c r="K27" s="91">
        <f>GETPIVOTDATA("合計 / 現況賃料計",Pivot!$G$2,"ID",K$2)*12</f>
        <v>3636000</v>
      </c>
      <c r="L27" s="91">
        <f>GETPIVOTDATA("合計 / 現況賃料計",Pivot!$G$2,"ID",L$2)*12</f>
        <v>3660000</v>
      </c>
      <c r="M27" s="91">
        <f>GETPIVOTDATA("合計 / 現況賃料計",Pivot!$G$2,"ID",M$2)*12</f>
        <v>3660000</v>
      </c>
      <c r="N27" s="91">
        <f>GETPIVOTDATA("合計 / 現況賃料計",Pivot!$G$2,"ID",N$2)*12</f>
        <v>3660000</v>
      </c>
      <c r="O27" s="91">
        <f>GETPIVOTDATA("合計 / 現況賃料計",Pivot!$G$2,"ID",O$2)*12</f>
        <v>3660000</v>
      </c>
      <c r="P27" s="91">
        <f>GETPIVOTDATA("合計 / 現況賃料計",Pivot!$G$2,"ID",P$2)*12</f>
        <v>0</v>
      </c>
    </row>
    <row r="28" spans="1:16" ht="15" customHeight="1" x14ac:dyDescent="0.4">
      <c r="A28" s="81" t="s">
        <v>144</v>
      </c>
      <c r="B28" s="92">
        <f>SUM(C28:AZ28)</f>
        <v>190308000</v>
      </c>
      <c r="C28" s="91">
        <f>GETPIVOTDATA("合計 / 再募集想定額計",Pivot!$G$2,"ID",C$2)*12</f>
        <v>21319200</v>
      </c>
      <c r="D28" s="91">
        <f>GETPIVOTDATA("合計 / 再募集想定額計",Pivot!$G$2,"ID",D$2)*12</f>
        <v>20930400</v>
      </c>
      <c r="E28" s="91">
        <f>GETPIVOTDATA("合計 / 再募集想定額計",Pivot!$G$2,"ID",E$2)*12</f>
        <v>20930400</v>
      </c>
      <c r="F28" s="91">
        <f>GETPIVOTDATA("合計 / 再募集想定額計",Pivot!$G$2,"ID",F$2)*12</f>
        <v>20930400</v>
      </c>
      <c r="G28" s="91">
        <f>GETPIVOTDATA("合計 / 再募集想定額計",Pivot!$G$2,"ID",G$2)*12</f>
        <v>20930400</v>
      </c>
      <c r="H28" s="91">
        <f>GETPIVOTDATA("合計 / 再募集想定額計",Pivot!$G$2,"ID",H$2)*12</f>
        <v>20930400</v>
      </c>
      <c r="I28" s="91">
        <f>GETPIVOTDATA("合計 / 再募集想定額計",Pivot!$G$2,"ID",I$2)*12</f>
        <v>20930400</v>
      </c>
      <c r="J28" s="91">
        <f>GETPIVOTDATA("合計 / 再募集想定額計",Pivot!$G$2,"ID",J$2)*12</f>
        <v>20930400</v>
      </c>
      <c r="K28" s="91">
        <f>GETPIVOTDATA("合計 / 再募集想定額計",Pivot!$G$2,"ID",K$2)*12</f>
        <v>3636000</v>
      </c>
      <c r="L28" s="91">
        <f>GETPIVOTDATA("合計 / 再募集想定額計",Pivot!$G$2,"ID",L$2)*12</f>
        <v>3660000</v>
      </c>
      <c r="M28" s="91">
        <f>GETPIVOTDATA("合計 / 再募集想定額計",Pivot!$G$2,"ID",M$2)*12</f>
        <v>3660000</v>
      </c>
      <c r="N28" s="91">
        <f>GETPIVOTDATA("合計 / 再募集想定額計",Pivot!$G$2,"ID",N$2)*12</f>
        <v>3660000</v>
      </c>
      <c r="O28" s="91">
        <f>GETPIVOTDATA("合計 / 再募集想定額計",Pivot!$G$2,"ID",O$2)*12</f>
        <v>3660000</v>
      </c>
      <c r="P28" s="91">
        <f>GETPIVOTDATA("合計 / 再募集想定額計",Pivot!$G$2,"ID",P$2)*12</f>
        <v>4200000</v>
      </c>
    </row>
    <row r="29" spans="1:16" ht="15" customHeight="1" x14ac:dyDescent="0.4">
      <c r="A29" s="81" t="s">
        <v>145</v>
      </c>
      <c r="B29" s="93">
        <f t="shared" ref="B29:P29" si="13">B28/B35</f>
        <v>7.8639669421487604E-2</v>
      </c>
      <c r="C29" s="94">
        <f t="shared" si="13"/>
        <v>8.52768E-2</v>
      </c>
      <c r="D29" s="94">
        <f t="shared" si="13"/>
        <v>8.3721599999999993E-2</v>
      </c>
      <c r="E29" s="94">
        <f t="shared" si="13"/>
        <v>8.3721599999999993E-2</v>
      </c>
      <c r="F29" s="94">
        <f t="shared" si="13"/>
        <v>8.3721599999999993E-2</v>
      </c>
      <c r="G29" s="94">
        <f t="shared" si="13"/>
        <v>8.3721599999999993E-2</v>
      </c>
      <c r="H29" s="94">
        <f t="shared" si="13"/>
        <v>8.3721599999999993E-2</v>
      </c>
      <c r="I29" s="94">
        <f t="shared" si="13"/>
        <v>8.3721599999999993E-2</v>
      </c>
      <c r="J29" s="94">
        <f t="shared" si="13"/>
        <v>8.3721599999999993E-2</v>
      </c>
      <c r="K29" s="94">
        <f t="shared" si="13"/>
        <v>5.1942857142857145E-2</v>
      </c>
      <c r="L29" s="94">
        <f t="shared" si="13"/>
        <v>5.2285714285714283E-2</v>
      </c>
      <c r="M29" s="94">
        <f t="shared" si="13"/>
        <v>5.2285714285714283E-2</v>
      </c>
      <c r="N29" s="94">
        <f t="shared" si="13"/>
        <v>5.2285714285714283E-2</v>
      </c>
      <c r="O29" s="94">
        <f t="shared" si="13"/>
        <v>5.2285714285714283E-2</v>
      </c>
      <c r="P29" s="94">
        <f t="shared" si="13"/>
        <v>0.06</v>
      </c>
    </row>
    <row r="30" spans="1:16" ht="15" customHeight="1" x14ac:dyDescent="0.4">
      <c r="A30" s="81" t="s">
        <v>146</v>
      </c>
      <c r="B30" s="95">
        <f t="shared" ref="B30:P30" si="14">B27/B28</f>
        <v>0.91739706160539758</v>
      </c>
      <c r="C30" s="96">
        <f t="shared" si="14"/>
        <v>0.93245525160418774</v>
      </c>
      <c r="D30" s="96">
        <f t="shared" si="14"/>
        <v>0.93120055039559679</v>
      </c>
      <c r="E30" s="96">
        <f t="shared" si="14"/>
        <v>0.93120055039559679</v>
      </c>
      <c r="F30" s="96">
        <f t="shared" si="14"/>
        <v>0.93120055039559679</v>
      </c>
      <c r="G30" s="96">
        <f t="shared" si="14"/>
        <v>0.93120055039559679</v>
      </c>
      <c r="H30" s="96">
        <f t="shared" si="14"/>
        <v>0.93120055039559679</v>
      </c>
      <c r="I30" s="96">
        <f t="shared" si="14"/>
        <v>0.93120055039559679</v>
      </c>
      <c r="J30" s="96">
        <f t="shared" si="14"/>
        <v>0.93120055039559679</v>
      </c>
      <c r="K30" s="96">
        <f t="shared" si="14"/>
        <v>1</v>
      </c>
      <c r="L30" s="96">
        <f t="shared" si="14"/>
        <v>1</v>
      </c>
      <c r="M30" s="96">
        <f t="shared" si="14"/>
        <v>1</v>
      </c>
      <c r="N30" s="96">
        <f t="shared" si="14"/>
        <v>1</v>
      </c>
      <c r="O30" s="96">
        <f t="shared" si="14"/>
        <v>1</v>
      </c>
      <c r="P30" s="96">
        <f t="shared" si="14"/>
        <v>0</v>
      </c>
    </row>
    <row r="31" spans="1:16" ht="15" customHeight="1" x14ac:dyDescent="0.4">
      <c r="A31" s="81" t="s">
        <v>147</v>
      </c>
      <c r="B31" s="97">
        <f t="shared" ref="B31:P31" si="15">B27/B35</f>
        <v>7.2143801652892567E-2</v>
      </c>
      <c r="C31" s="94">
        <f t="shared" si="15"/>
        <v>7.9516799999999999E-2</v>
      </c>
      <c r="D31" s="94">
        <f t="shared" si="15"/>
        <v>7.7961600000000006E-2</v>
      </c>
      <c r="E31" s="94">
        <f t="shared" si="15"/>
        <v>7.7961600000000006E-2</v>
      </c>
      <c r="F31" s="94">
        <f t="shared" si="15"/>
        <v>7.7961600000000006E-2</v>
      </c>
      <c r="G31" s="94">
        <f t="shared" si="15"/>
        <v>7.7961600000000006E-2</v>
      </c>
      <c r="H31" s="94">
        <f t="shared" si="15"/>
        <v>7.7961600000000006E-2</v>
      </c>
      <c r="I31" s="94">
        <f t="shared" si="15"/>
        <v>7.7961600000000006E-2</v>
      </c>
      <c r="J31" s="94">
        <f t="shared" si="15"/>
        <v>7.7961600000000006E-2</v>
      </c>
      <c r="K31" s="94">
        <f t="shared" si="15"/>
        <v>5.1942857142857145E-2</v>
      </c>
      <c r="L31" s="94">
        <f t="shared" si="15"/>
        <v>5.2285714285714283E-2</v>
      </c>
      <c r="M31" s="94">
        <f t="shared" si="15"/>
        <v>5.2285714285714283E-2</v>
      </c>
      <c r="N31" s="94">
        <f t="shared" si="15"/>
        <v>5.2285714285714283E-2</v>
      </c>
      <c r="O31" s="94">
        <f t="shared" si="15"/>
        <v>5.2285714285714283E-2</v>
      </c>
      <c r="P31" s="94">
        <f t="shared" si="15"/>
        <v>0</v>
      </c>
    </row>
    <row r="32" spans="1:16" ht="15" customHeight="1" x14ac:dyDescent="0.4">
      <c r="A32" s="98" t="s">
        <v>148</v>
      </c>
      <c r="B32" s="99"/>
      <c r="C32" s="100" t="str">
        <f t="shared" ref="C32:P32" si="16">VLOOKUP(C$2,id_list,13,FALSE)</f>
        <v>かぼちゃハウジング</v>
      </c>
      <c r="D32" s="100" t="str">
        <f t="shared" si="16"/>
        <v>かぼちゃハウジング</v>
      </c>
      <c r="E32" s="100" t="str">
        <f t="shared" si="16"/>
        <v>かぼちゃハウジング</v>
      </c>
      <c r="F32" s="100" t="str">
        <f t="shared" si="16"/>
        <v>自主管理</v>
      </c>
      <c r="G32" s="100" t="str">
        <f t="shared" si="16"/>
        <v>自主管理</v>
      </c>
      <c r="H32" s="100" t="str">
        <f t="shared" si="16"/>
        <v>かぼちゃハウジング</v>
      </c>
      <c r="I32" s="100" t="str">
        <f t="shared" si="16"/>
        <v>かぼちゃハウジング</v>
      </c>
      <c r="J32" s="100" t="str">
        <f t="shared" si="16"/>
        <v>かぼちゃハウジング</v>
      </c>
      <c r="K32" s="100" t="str">
        <f t="shared" si="16"/>
        <v>かぼちゃハウジング</v>
      </c>
      <c r="L32" s="100" t="str">
        <f t="shared" si="16"/>
        <v>かぼちゃハウジング</v>
      </c>
      <c r="M32" s="100" t="str">
        <f t="shared" si="16"/>
        <v>かぼちゃハウジング</v>
      </c>
      <c r="N32" s="100" t="str">
        <f t="shared" si="16"/>
        <v>かぼちゃハウジング</v>
      </c>
      <c r="O32" s="100" t="str">
        <f t="shared" si="16"/>
        <v>かぼちゃハウジング</v>
      </c>
      <c r="P32" s="100" t="str">
        <f t="shared" si="16"/>
        <v>自主管理</v>
      </c>
    </row>
    <row r="33" spans="1:16" x14ac:dyDescent="0.4">
      <c r="A33" s="76" t="s">
        <v>149</v>
      </c>
      <c r="B33" s="77"/>
      <c r="C33" s="101"/>
      <c r="D33" s="101"/>
      <c r="E33" s="101"/>
      <c r="F33" s="101"/>
      <c r="G33" s="101"/>
      <c r="H33" s="101"/>
      <c r="I33" s="101"/>
      <c r="J33" s="101"/>
      <c r="K33" s="101"/>
      <c r="L33" s="101"/>
      <c r="M33" s="101"/>
      <c r="N33" s="101"/>
      <c r="O33" s="101"/>
      <c r="P33" s="101"/>
    </row>
    <row r="34" spans="1:16" ht="15" customHeight="1" x14ac:dyDescent="0.4">
      <c r="A34" s="73" t="s">
        <v>150</v>
      </c>
      <c r="B34" s="102"/>
      <c r="C34" s="103">
        <f t="shared" ref="C34:P34" si="17">VLOOKUP(C$2,id_list,14,FALSE)</f>
        <v>42370</v>
      </c>
      <c r="D34" s="103">
        <f t="shared" si="17"/>
        <v>42370</v>
      </c>
      <c r="E34" s="103">
        <f t="shared" si="17"/>
        <v>42370</v>
      </c>
      <c r="F34" s="103">
        <f t="shared" si="17"/>
        <v>42370</v>
      </c>
      <c r="G34" s="103">
        <f t="shared" si="17"/>
        <v>42370</v>
      </c>
      <c r="H34" s="103">
        <f t="shared" si="17"/>
        <v>42370</v>
      </c>
      <c r="I34" s="103">
        <f t="shared" si="17"/>
        <v>42370</v>
      </c>
      <c r="J34" s="103">
        <f t="shared" si="17"/>
        <v>42370</v>
      </c>
      <c r="K34" s="103">
        <f t="shared" si="17"/>
        <v>42370</v>
      </c>
      <c r="L34" s="103">
        <f t="shared" si="17"/>
        <v>42370</v>
      </c>
      <c r="M34" s="103">
        <f t="shared" si="17"/>
        <v>42370</v>
      </c>
      <c r="N34" s="103">
        <f t="shared" si="17"/>
        <v>42370</v>
      </c>
      <c r="O34" s="103">
        <f t="shared" si="17"/>
        <v>42370</v>
      </c>
      <c r="P34" s="103">
        <f t="shared" si="17"/>
        <v>42370</v>
      </c>
    </row>
    <row r="35" spans="1:16" ht="15" customHeight="1" x14ac:dyDescent="0.4">
      <c r="A35" s="73" t="s">
        <v>151</v>
      </c>
      <c r="B35" s="104">
        <f>SUM(C35:AZ35)</f>
        <v>2420000000</v>
      </c>
      <c r="C35" s="105">
        <f t="shared" ref="C35:P35" si="18">VLOOKUP(C$2,id_list,15,FALSE)</f>
        <v>250000000</v>
      </c>
      <c r="D35" s="105">
        <f t="shared" si="18"/>
        <v>250000000</v>
      </c>
      <c r="E35" s="105">
        <f t="shared" si="18"/>
        <v>250000000</v>
      </c>
      <c r="F35" s="105">
        <f t="shared" si="18"/>
        <v>250000000</v>
      </c>
      <c r="G35" s="105">
        <f t="shared" si="18"/>
        <v>250000000</v>
      </c>
      <c r="H35" s="105">
        <f t="shared" si="18"/>
        <v>250000000</v>
      </c>
      <c r="I35" s="105">
        <f t="shared" si="18"/>
        <v>250000000</v>
      </c>
      <c r="J35" s="105">
        <f t="shared" si="18"/>
        <v>250000000</v>
      </c>
      <c r="K35" s="105">
        <f t="shared" si="18"/>
        <v>70000000</v>
      </c>
      <c r="L35" s="105">
        <f t="shared" si="18"/>
        <v>70000000</v>
      </c>
      <c r="M35" s="105">
        <f t="shared" si="18"/>
        <v>70000000</v>
      </c>
      <c r="N35" s="105">
        <f t="shared" si="18"/>
        <v>70000000</v>
      </c>
      <c r="O35" s="105">
        <f t="shared" si="18"/>
        <v>70000000</v>
      </c>
      <c r="P35" s="105">
        <f t="shared" si="18"/>
        <v>70000000</v>
      </c>
    </row>
    <row r="36" spans="1:16" ht="15" customHeight="1" x14ac:dyDescent="0.4">
      <c r="A36" s="73" t="s">
        <v>152</v>
      </c>
      <c r="B36" s="106">
        <f>SUM(C36:AZ36)</f>
        <v>2294000000</v>
      </c>
      <c r="C36" s="107">
        <f t="shared" ref="C36:P36" si="19">VLOOKUP(C$4,kariire,11,FALSE)</f>
        <v>238000000</v>
      </c>
      <c r="D36" s="107">
        <f t="shared" si="19"/>
        <v>238000000</v>
      </c>
      <c r="E36" s="107">
        <f t="shared" si="19"/>
        <v>238000000</v>
      </c>
      <c r="F36" s="107">
        <f t="shared" si="19"/>
        <v>238000000</v>
      </c>
      <c r="G36" s="107">
        <f t="shared" si="19"/>
        <v>238000000</v>
      </c>
      <c r="H36" s="107">
        <f t="shared" si="19"/>
        <v>238000000</v>
      </c>
      <c r="I36" s="107">
        <f t="shared" si="19"/>
        <v>238000000</v>
      </c>
      <c r="J36" s="107">
        <f t="shared" si="19"/>
        <v>238000000</v>
      </c>
      <c r="K36" s="107">
        <f t="shared" si="19"/>
        <v>65000000</v>
      </c>
      <c r="L36" s="107">
        <f t="shared" si="19"/>
        <v>65000000</v>
      </c>
      <c r="M36" s="107">
        <f t="shared" si="19"/>
        <v>65000000</v>
      </c>
      <c r="N36" s="107">
        <f t="shared" si="19"/>
        <v>65000000</v>
      </c>
      <c r="O36" s="107">
        <f t="shared" si="19"/>
        <v>65000000</v>
      </c>
      <c r="P36" s="107">
        <f t="shared" si="19"/>
        <v>65000000</v>
      </c>
    </row>
    <row r="37" spans="1:16" ht="15" customHeight="1" x14ac:dyDescent="0.4">
      <c r="A37" s="73" t="s">
        <v>153</v>
      </c>
      <c r="B37" s="106">
        <f>SUM(C37:AZ37)</f>
        <v>126000000</v>
      </c>
      <c r="C37" s="108">
        <f t="shared" ref="C37:P37" si="20">C35-C36</f>
        <v>12000000</v>
      </c>
      <c r="D37" s="108">
        <f t="shared" si="20"/>
        <v>12000000</v>
      </c>
      <c r="E37" s="108">
        <f t="shared" si="20"/>
        <v>12000000</v>
      </c>
      <c r="F37" s="108">
        <f t="shared" si="20"/>
        <v>12000000</v>
      </c>
      <c r="G37" s="108">
        <f t="shared" si="20"/>
        <v>12000000</v>
      </c>
      <c r="H37" s="108">
        <f t="shared" si="20"/>
        <v>12000000</v>
      </c>
      <c r="I37" s="108">
        <f t="shared" si="20"/>
        <v>12000000</v>
      </c>
      <c r="J37" s="108">
        <f t="shared" si="20"/>
        <v>12000000</v>
      </c>
      <c r="K37" s="108">
        <f t="shared" si="20"/>
        <v>5000000</v>
      </c>
      <c r="L37" s="108">
        <f t="shared" si="20"/>
        <v>5000000</v>
      </c>
      <c r="M37" s="108">
        <f t="shared" si="20"/>
        <v>5000000</v>
      </c>
      <c r="N37" s="108">
        <f t="shared" si="20"/>
        <v>5000000</v>
      </c>
      <c r="O37" s="108">
        <f t="shared" si="20"/>
        <v>5000000</v>
      </c>
      <c r="P37" s="108">
        <f t="shared" si="20"/>
        <v>5000000</v>
      </c>
    </row>
    <row r="38" spans="1:16" s="79" customFormat="1" ht="39" customHeight="1" x14ac:dyDescent="0.4">
      <c r="A38" s="78" t="s">
        <v>154</v>
      </c>
      <c r="B38" s="106"/>
      <c r="C38" s="75" t="str">
        <f t="shared" ref="C38:P38" si="21">VLOOKUP(C$4,kariire,3,FALSE)&amp;CHAR(10)&amp;VLOOKUP(C$4,kariire,4,FALSE)</f>
        <v>スルガ銀行
目白支店</v>
      </c>
      <c r="D38" s="75" t="str">
        <f t="shared" si="21"/>
        <v>スルガ銀行
目白支店</v>
      </c>
      <c r="E38" s="75" t="str">
        <f t="shared" si="21"/>
        <v>スルガ銀行
目白支店</v>
      </c>
      <c r="F38" s="75" t="str">
        <f t="shared" si="21"/>
        <v>オリックス銀行
高田馬場支店</v>
      </c>
      <c r="G38" s="75" t="str">
        <f t="shared" si="21"/>
        <v>日本政策金融公庫
池袋支店</v>
      </c>
      <c r="H38" s="75" t="str">
        <f t="shared" si="21"/>
        <v>静岡銀行
大塚支店</v>
      </c>
      <c r="I38" s="75" t="str">
        <f t="shared" si="21"/>
        <v>静岡銀行
大塚支店</v>
      </c>
      <c r="J38" s="75" t="str">
        <f t="shared" si="21"/>
        <v>西武信用金庫
巣鴨支店</v>
      </c>
      <c r="K38" s="75" t="str">
        <f t="shared" si="21"/>
        <v>西武信用金庫
巣鴨支店</v>
      </c>
      <c r="L38" s="75" t="str">
        <f t="shared" si="21"/>
        <v>千葉銀行
東京支店</v>
      </c>
      <c r="M38" s="75" t="str">
        <f t="shared" si="21"/>
        <v>三井住友トラストL＆F
神奈川支店</v>
      </c>
      <c r="N38" s="75" t="str">
        <f t="shared" si="21"/>
        <v>日本政策金融公庫
池袋支店</v>
      </c>
      <c r="O38" s="75" t="str">
        <f t="shared" si="21"/>
        <v>日本政策金融公庫
池袋支店</v>
      </c>
      <c r="P38" s="75" t="str">
        <f t="shared" si="21"/>
        <v>イオンプロダクトファイナンス
本店</v>
      </c>
    </row>
    <row r="39" spans="1:16" x14ac:dyDescent="0.4">
      <c r="A39" s="109" t="s">
        <v>155</v>
      </c>
      <c r="B39" s="110"/>
      <c r="C39" s="111"/>
      <c r="D39" s="111"/>
      <c r="E39" s="111"/>
      <c r="F39" s="111"/>
      <c r="G39" s="111"/>
      <c r="H39" s="111"/>
      <c r="I39" s="111"/>
      <c r="J39" s="111"/>
      <c r="K39" s="111"/>
      <c r="L39" s="111"/>
      <c r="M39" s="111"/>
      <c r="N39" s="111"/>
      <c r="O39" s="111"/>
      <c r="P39" s="111"/>
    </row>
    <row r="40" spans="1:16" ht="15" customHeight="1" x14ac:dyDescent="0.4">
      <c r="A40" s="73" t="s">
        <v>156</v>
      </c>
      <c r="B40" s="74"/>
      <c r="C40" s="112" t="str">
        <f t="shared" ref="C40:P40" si="22">IF(C5&gt;1,VLOOKUP(C$2,id_list,24,FALSE),"")</f>
        <v>コアプラス・アンド・アーキテクチャーズ株式会社</v>
      </c>
      <c r="D40" s="112" t="str">
        <f t="shared" si="22"/>
        <v>さんためエステート株式会社</v>
      </c>
      <c r="E40" s="112" t="str">
        <f t="shared" si="22"/>
        <v/>
      </c>
      <c r="F40" s="112" t="str">
        <f t="shared" si="22"/>
        <v/>
      </c>
      <c r="G40" s="112" t="str">
        <f t="shared" si="22"/>
        <v/>
      </c>
      <c r="H40" s="112" t="str">
        <f t="shared" si="22"/>
        <v/>
      </c>
      <c r="I40" s="112" t="str">
        <f t="shared" si="22"/>
        <v/>
      </c>
      <c r="J40" s="112" t="str">
        <f t="shared" si="22"/>
        <v/>
      </c>
      <c r="K40" s="112" t="str">
        <f t="shared" si="22"/>
        <v/>
      </c>
      <c r="L40" s="112" t="str">
        <f t="shared" si="22"/>
        <v/>
      </c>
      <c r="M40" s="112" t="str">
        <f t="shared" si="22"/>
        <v/>
      </c>
      <c r="N40" s="112" t="str">
        <f t="shared" si="22"/>
        <v/>
      </c>
      <c r="O40" s="112" t="str">
        <f t="shared" si="22"/>
        <v/>
      </c>
      <c r="P40" s="112" t="str">
        <f t="shared" si="22"/>
        <v/>
      </c>
    </row>
    <row r="41" spans="1:16" ht="15" customHeight="1" x14ac:dyDescent="0.4">
      <c r="A41" s="73" t="s">
        <v>157</v>
      </c>
      <c r="B41" s="74"/>
      <c r="C41" s="112">
        <f t="shared" ref="C41:P41" si="23">IF(C$5&gt;1,VLOOKUP(C$2,id_list,25,FALSE),"")</f>
        <v>43105</v>
      </c>
      <c r="D41" s="112">
        <f t="shared" si="23"/>
        <v>43105</v>
      </c>
      <c r="E41" s="112" t="str">
        <f t="shared" si="23"/>
        <v/>
      </c>
      <c r="F41" s="112" t="str">
        <f t="shared" si="23"/>
        <v/>
      </c>
      <c r="G41" s="112" t="str">
        <f t="shared" si="23"/>
        <v/>
      </c>
      <c r="H41" s="112" t="str">
        <f t="shared" si="23"/>
        <v/>
      </c>
      <c r="I41" s="112" t="str">
        <f t="shared" si="23"/>
        <v/>
      </c>
      <c r="J41" s="112" t="str">
        <f t="shared" si="23"/>
        <v/>
      </c>
      <c r="K41" s="112" t="str">
        <f t="shared" si="23"/>
        <v/>
      </c>
      <c r="L41" s="112" t="str">
        <f t="shared" si="23"/>
        <v/>
      </c>
      <c r="M41" s="112" t="str">
        <f t="shared" si="23"/>
        <v/>
      </c>
      <c r="N41" s="112" t="str">
        <f t="shared" si="23"/>
        <v/>
      </c>
      <c r="O41" s="112" t="str">
        <f t="shared" si="23"/>
        <v/>
      </c>
      <c r="P41" s="112" t="str">
        <f t="shared" si="23"/>
        <v/>
      </c>
    </row>
    <row r="42" spans="1:16" ht="15" customHeight="1" x14ac:dyDescent="0.4">
      <c r="A42" s="73" t="s">
        <v>158</v>
      </c>
      <c r="B42" s="106"/>
      <c r="C42" s="113">
        <f t="shared" ref="C42:P42" si="24">IF(C$5&gt;1,VLOOKUP(C$2,id_list,26,FALSE),"")</f>
        <v>260000000</v>
      </c>
      <c r="D42" s="113">
        <f t="shared" si="24"/>
        <v>260000000</v>
      </c>
      <c r="E42" s="113" t="str">
        <f t="shared" si="24"/>
        <v/>
      </c>
      <c r="F42" s="113" t="str">
        <f t="shared" si="24"/>
        <v/>
      </c>
      <c r="G42" s="113" t="str">
        <f t="shared" si="24"/>
        <v/>
      </c>
      <c r="H42" s="113" t="str">
        <f t="shared" si="24"/>
        <v/>
      </c>
      <c r="I42" s="113" t="str">
        <f t="shared" si="24"/>
        <v/>
      </c>
      <c r="J42" s="113" t="str">
        <f t="shared" si="24"/>
        <v/>
      </c>
      <c r="K42" s="113" t="str">
        <f t="shared" si="24"/>
        <v/>
      </c>
      <c r="L42" s="113" t="str">
        <f t="shared" si="24"/>
        <v/>
      </c>
      <c r="M42" s="113" t="str">
        <f t="shared" si="24"/>
        <v/>
      </c>
      <c r="N42" s="113" t="str">
        <f t="shared" si="24"/>
        <v/>
      </c>
      <c r="O42" s="113" t="str">
        <f t="shared" si="24"/>
        <v/>
      </c>
      <c r="P42" s="113" t="str">
        <f t="shared" si="24"/>
        <v/>
      </c>
    </row>
    <row r="43" spans="1:16" ht="15" customHeight="1" x14ac:dyDescent="0.4">
      <c r="A43" s="98" t="s">
        <v>159</v>
      </c>
      <c r="B43" s="106"/>
      <c r="C43" s="113">
        <f t="shared" ref="C43:P43" si="25">IF(C$5&gt;1,VLOOKUP(C$5,kariire,11,FALSE),"")</f>
        <v>238000000</v>
      </c>
      <c r="D43" s="113">
        <f t="shared" si="25"/>
        <v>238000000</v>
      </c>
      <c r="E43" s="113" t="str">
        <f t="shared" si="25"/>
        <v/>
      </c>
      <c r="F43" s="113" t="str">
        <f t="shared" si="25"/>
        <v/>
      </c>
      <c r="G43" s="113" t="str">
        <f t="shared" si="25"/>
        <v/>
      </c>
      <c r="H43" s="113" t="str">
        <f t="shared" si="25"/>
        <v/>
      </c>
      <c r="I43" s="113" t="str">
        <f t="shared" si="25"/>
        <v/>
      </c>
      <c r="J43" s="113" t="str">
        <f t="shared" si="25"/>
        <v/>
      </c>
      <c r="K43" s="113" t="str">
        <f t="shared" si="25"/>
        <v/>
      </c>
      <c r="L43" s="113" t="str">
        <f t="shared" si="25"/>
        <v/>
      </c>
      <c r="M43" s="113" t="str">
        <f t="shared" si="25"/>
        <v/>
      </c>
      <c r="N43" s="113" t="str">
        <f t="shared" si="25"/>
        <v/>
      </c>
      <c r="O43" s="113" t="str">
        <f t="shared" si="25"/>
        <v/>
      </c>
      <c r="P43" s="113" t="str">
        <f t="shared" si="25"/>
        <v/>
      </c>
    </row>
    <row r="44" spans="1:16" ht="15" customHeight="1" x14ac:dyDescent="0.4">
      <c r="A44" s="73" t="s">
        <v>160</v>
      </c>
      <c r="B44" s="106"/>
      <c r="C44" s="113" t="str">
        <f t="shared" ref="C44:P44" si="26">IF(C$5&gt;1,VLOOKUP(C$5,kariire,3,FALSE)&amp;VLOOKUP(C$5,kariire,4,FALSE),"")</f>
        <v>静岡銀行大塚支店</v>
      </c>
      <c r="D44" s="113" t="str">
        <f t="shared" si="26"/>
        <v>静岡銀行大塚支店</v>
      </c>
      <c r="E44" s="113" t="str">
        <f t="shared" si="26"/>
        <v/>
      </c>
      <c r="F44" s="113" t="str">
        <f t="shared" si="26"/>
        <v/>
      </c>
      <c r="G44" s="113" t="str">
        <f t="shared" si="26"/>
        <v/>
      </c>
      <c r="H44" s="113" t="str">
        <f t="shared" si="26"/>
        <v/>
      </c>
      <c r="I44" s="113" t="str">
        <f t="shared" si="26"/>
        <v/>
      </c>
      <c r="J44" s="113" t="str">
        <f t="shared" si="26"/>
        <v/>
      </c>
      <c r="K44" s="113" t="str">
        <f t="shared" si="26"/>
        <v/>
      </c>
      <c r="L44" s="113" t="str">
        <f t="shared" si="26"/>
        <v/>
      </c>
      <c r="M44" s="113" t="str">
        <f t="shared" si="26"/>
        <v/>
      </c>
      <c r="N44" s="113" t="str">
        <f t="shared" si="26"/>
        <v/>
      </c>
      <c r="O44" s="113" t="str">
        <f t="shared" si="26"/>
        <v/>
      </c>
      <c r="P44" s="113" t="str">
        <f t="shared" si="26"/>
        <v/>
      </c>
    </row>
    <row r="45" spans="1:16" ht="15" customHeight="1" x14ac:dyDescent="0.4">
      <c r="A45" s="114" t="s">
        <v>161</v>
      </c>
      <c r="B45" s="104">
        <f>SUM(C45:AZ45)</f>
        <v>24000000</v>
      </c>
      <c r="C45" s="108">
        <f>IF(C$5&gt;1,(C35-C43),"")</f>
        <v>12000000</v>
      </c>
      <c r="D45" s="108">
        <f t="shared" ref="D45:P45" si="27">IF(D$5&gt;1,(D35-D43),"")</f>
        <v>12000000</v>
      </c>
      <c r="E45" s="108" t="str">
        <f t="shared" si="27"/>
        <v/>
      </c>
      <c r="F45" s="108" t="str">
        <f t="shared" si="27"/>
        <v/>
      </c>
      <c r="G45" s="108" t="str">
        <f t="shared" si="27"/>
        <v/>
      </c>
      <c r="H45" s="108" t="str">
        <f t="shared" si="27"/>
        <v/>
      </c>
      <c r="I45" s="108" t="str">
        <f t="shared" si="27"/>
        <v/>
      </c>
      <c r="J45" s="108" t="str">
        <f t="shared" si="27"/>
        <v/>
      </c>
      <c r="K45" s="108" t="str">
        <f t="shared" si="27"/>
        <v/>
      </c>
      <c r="L45" s="108" t="str">
        <f t="shared" si="27"/>
        <v/>
      </c>
      <c r="M45" s="108" t="str">
        <f t="shared" si="27"/>
        <v/>
      </c>
      <c r="N45" s="108" t="str">
        <f t="shared" si="27"/>
        <v/>
      </c>
      <c r="O45" s="108" t="str">
        <f t="shared" si="27"/>
        <v/>
      </c>
      <c r="P45" s="108" t="str">
        <f t="shared" si="27"/>
        <v/>
      </c>
    </row>
    <row r="46" spans="1:16" x14ac:dyDescent="0.4">
      <c r="A46" s="76" t="s">
        <v>162</v>
      </c>
      <c r="B46" s="77"/>
      <c r="C46" s="115"/>
      <c r="D46" s="115"/>
      <c r="E46" s="115"/>
      <c r="F46" s="115"/>
      <c r="G46" s="115"/>
      <c r="H46" s="115"/>
      <c r="I46" s="115"/>
      <c r="J46" s="115"/>
      <c r="K46" s="115"/>
      <c r="L46" s="115"/>
      <c r="M46" s="115"/>
      <c r="N46" s="115"/>
      <c r="O46" s="115"/>
      <c r="P46" s="115"/>
    </row>
    <row r="47" spans="1:16" ht="15" customHeight="1" x14ac:dyDescent="0.4">
      <c r="A47" s="73" t="s">
        <v>163</v>
      </c>
      <c r="B47" s="116">
        <f>GETPIVOTDATA("ﾌｨｰﾙﾄﾞ1",借入サマリー!$A$57)</f>
        <v>1.4818332923353912E-2</v>
      </c>
      <c r="C47" s="117">
        <f t="shared" ref="C47:P47" si="28">IF(C$5&gt;1,VLOOKUP(C$5,kariire,13,FALSE)/100,VLOOKUP(C$4,kariire,13,FALSE)/100)</f>
        <v>1.6750000000000001E-2</v>
      </c>
      <c r="D47" s="117">
        <f t="shared" si="28"/>
        <v>1.6750000000000001E-2</v>
      </c>
      <c r="E47" s="117">
        <f t="shared" si="28"/>
        <v>1.6750000000000001E-2</v>
      </c>
      <c r="F47" s="117">
        <f t="shared" si="28"/>
        <v>1.6750000000000001E-2</v>
      </c>
      <c r="G47" s="117">
        <f t="shared" si="28"/>
        <v>1.6750000000000001E-2</v>
      </c>
      <c r="H47" s="117">
        <f t="shared" si="28"/>
        <v>1.6750000000000001E-2</v>
      </c>
      <c r="I47" s="117">
        <f t="shared" si="28"/>
        <v>1.6750000000000001E-2</v>
      </c>
      <c r="J47" s="117">
        <f t="shared" si="28"/>
        <v>1.6750000000000001E-2</v>
      </c>
      <c r="K47" s="117">
        <f t="shared" si="28"/>
        <v>7.4999999999999997E-3</v>
      </c>
      <c r="L47" s="117">
        <f t="shared" si="28"/>
        <v>7.4999999999999997E-3</v>
      </c>
      <c r="M47" s="117">
        <f t="shared" si="28"/>
        <v>7.4999999999999997E-3</v>
      </c>
      <c r="N47" s="117">
        <f t="shared" si="28"/>
        <v>7.4999999999999997E-3</v>
      </c>
      <c r="O47" s="117">
        <f t="shared" si="28"/>
        <v>7.4999999999999997E-3</v>
      </c>
      <c r="P47" s="117">
        <f t="shared" si="28"/>
        <v>7.4999999999999997E-3</v>
      </c>
    </row>
    <row r="48" spans="1:16" ht="15" customHeight="1" x14ac:dyDescent="0.4">
      <c r="A48" s="73" t="s">
        <v>164</v>
      </c>
      <c r="B48" s="74"/>
      <c r="C48" s="118">
        <f t="shared" ref="C48:P48" si="29">IF(C$5&gt;1,VLOOKUP(C$5,kariire,15,FALSE),VLOOKUP(C$4,kariire,15,FALSE))</f>
        <v>30</v>
      </c>
      <c r="D48" s="118">
        <f t="shared" si="29"/>
        <v>30</v>
      </c>
      <c r="E48" s="118">
        <f t="shared" si="29"/>
        <v>30</v>
      </c>
      <c r="F48" s="118">
        <f t="shared" si="29"/>
        <v>30</v>
      </c>
      <c r="G48" s="118">
        <f t="shared" si="29"/>
        <v>30</v>
      </c>
      <c r="H48" s="118">
        <f t="shared" si="29"/>
        <v>30</v>
      </c>
      <c r="I48" s="118">
        <f t="shared" si="29"/>
        <v>30</v>
      </c>
      <c r="J48" s="118">
        <f t="shared" si="29"/>
        <v>30</v>
      </c>
      <c r="K48" s="118">
        <f t="shared" si="29"/>
        <v>30</v>
      </c>
      <c r="L48" s="118">
        <f t="shared" si="29"/>
        <v>30</v>
      </c>
      <c r="M48" s="118">
        <f t="shared" si="29"/>
        <v>30</v>
      </c>
      <c r="N48" s="118">
        <f t="shared" si="29"/>
        <v>30</v>
      </c>
      <c r="O48" s="118">
        <f t="shared" si="29"/>
        <v>30</v>
      </c>
      <c r="P48" s="118">
        <f t="shared" si="29"/>
        <v>30</v>
      </c>
    </row>
    <row r="49" spans="1:16" ht="15" customHeight="1" x14ac:dyDescent="0.4">
      <c r="A49" s="81" t="s">
        <v>165</v>
      </c>
      <c r="B49" s="119"/>
      <c r="C49" s="120">
        <f t="shared" ref="C49:P49" ca="1" si="30">C48-(TODAY()-C34)/30/12</f>
        <v>27.3</v>
      </c>
      <c r="D49" s="120">
        <f t="shared" ca="1" si="30"/>
        <v>27.3</v>
      </c>
      <c r="E49" s="120">
        <f t="shared" ca="1" si="30"/>
        <v>27.3</v>
      </c>
      <c r="F49" s="120">
        <f t="shared" ca="1" si="30"/>
        <v>27.3</v>
      </c>
      <c r="G49" s="120">
        <f t="shared" ca="1" si="30"/>
        <v>27.3</v>
      </c>
      <c r="H49" s="120">
        <f t="shared" ca="1" si="30"/>
        <v>27.3</v>
      </c>
      <c r="I49" s="120">
        <f t="shared" ca="1" si="30"/>
        <v>27.3</v>
      </c>
      <c r="J49" s="120">
        <f t="shared" ca="1" si="30"/>
        <v>27.3</v>
      </c>
      <c r="K49" s="120">
        <f t="shared" ca="1" si="30"/>
        <v>27.3</v>
      </c>
      <c r="L49" s="120">
        <f t="shared" ca="1" si="30"/>
        <v>27.3</v>
      </c>
      <c r="M49" s="120">
        <f t="shared" ca="1" si="30"/>
        <v>27.3</v>
      </c>
      <c r="N49" s="120">
        <f t="shared" ca="1" si="30"/>
        <v>27.3</v>
      </c>
      <c r="O49" s="120">
        <f t="shared" ca="1" si="30"/>
        <v>27.3</v>
      </c>
      <c r="P49" s="120">
        <f t="shared" ca="1" si="30"/>
        <v>27.3</v>
      </c>
    </row>
    <row r="50" spans="1:16" ht="15" customHeight="1" x14ac:dyDescent="0.4">
      <c r="A50" s="73" t="s">
        <v>162</v>
      </c>
      <c r="B50" s="74"/>
      <c r="C50" s="121" t="str">
        <f t="shared" ref="C50:P50" si="31">IF(C$5&gt;1,VLOOKUP(C$5,kariire,14,FALSE),VLOOKUP(C$4,kariire,14,FALSE))</f>
        <v>変動</v>
      </c>
      <c r="D50" s="121" t="str">
        <f t="shared" si="31"/>
        <v>変動</v>
      </c>
      <c r="E50" s="121" t="str">
        <f t="shared" si="31"/>
        <v>変動</v>
      </c>
      <c r="F50" s="121" t="str">
        <f t="shared" si="31"/>
        <v>変動</v>
      </c>
      <c r="G50" s="121" t="str">
        <f t="shared" si="31"/>
        <v>変動</v>
      </c>
      <c r="H50" s="121" t="str">
        <f t="shared" si="31"/>
        <v>変動</v>
      </c>
      <c r="I50" s="121" t="str">
        <f t="shared" si="31"/>
        <v>変動</v>
      </c>
      <c r="J50" s="121" t="str">
        <f t="shared" si="31"/>
        <v>固定10年</v>
      </c>
      <c r="K50" s="121" t="str">
        <f t="shared" si="31"/>
        <v>固定10年</v>
      </c>
      <c r="L50" s="121" t="str">
        <f t="shared" si="31"/>
        <v>変動</v>
      </c>
      <c r="M50" s="121" t="str">
        <f t="shared" si="31"/>
        <v>変動</v>
      </c>
      <c r="N50" s="121" t="str">
        <f t="shared" si="31"/>
        <v>変動</v>
      </c>
      <c r="O50" s="121" t="str">
        <f t="shared" si="31"/>
        <v>変動</v>
      </c>
      <c r="P50" s="121" t="str">
        <f t="shared" si="31"/>
        <v>変動</v>
      </c>
    </row>
    <row r="51" spans="1:16" ht="15" customHeight="1" x14ac:dyDescent="0.4">
      <c r="A51" s="73" t="s">
        <v>516</v>
      </c>
      <c r="B51" s="74"/>
      <c r="C51" s="122" t="str">
        <f t="shared" ref="C51:P51" si="32">IF(C$5&gt;1,VLOOKUP(C$5,kariire,24,FALSE),VLOOKUP(C$4,kariire,24,FALSE))</f>
        <v>無</v>
      </c>
      <c r="D51" s="122" t="str">
        <f t="shared" si="32"/>
        <v>無</v>
      </c>
      <c r="E51" s="122" t="str">
        <f t="shared" si="32"/>
        <v>有</v>
      </c>
      <c r="F51" s="122" t="str">
        <f t="shared" si="32"/>
        <v>有</v>
      </c>
      <c r="G51" s="122" t="str">
        <f t="shared" si="32"/>
        <v>有</v>
      </c>
      <c r="H51" s="122" t="str">
        <f t="shared" si="32"/>
        <v>無</v>
      </c>
      <c r="I51" s="122" t="str">
        <f t="shared" si="32"/>
        <v>無</v>
      </c>
      <c r="J51" s="122" t="str">
        <f t="shared" si="32"/>
        <v>有</v>
      </c>
      <c r="K51" s="122" t="str">
        <f t="shared" si="32"/>
        <v>有</v>
      </c>
      <c r="L51" s="122" t="str">
        <f t="shared" si="32"/>
        <v>無</v>
      </c>
      <c r="M51" s="122" t="str">
        <f t="shared" si="32"/>
        <v>無</v>
      </c>
      <c r="N51" s="122" t="str">
        <f t="shared" si="32"/>
        <v>有</v>
      </c>
      <c r="O51" s="122" t="str">
        <f t="shared" si="32"/>
        <v>有</v>
      </c>
      <c r="P51" s="122" t="str">
        <f t="shared" si="32"/>
        <v>無</v>
      </c>
    </row>
    <row r="52" spans="1:16" ht="15" customHeight="1" x14ac:dyDescent="0.4">
      <c r="A52" s="123" t="s">
        <v>166</v>
      </c>
      <c r="B52" s="124"/>
      <c r="C52" s="125" t="str">
        <f t="shared" ref="C52:P52" si="33">IF(C$5&gt;1,VLOOKUP(C$5,kariire,25,FALSE)&amp;"",VLOOKUP(C$4,kariire,25,FALSE)&amp;"")</f>
        <v/>
      </c>
      <c r="D52" s="125" t="str">
        <f t="shared" si="33"/>
        <v/>
      </c>
      <c r="E52" s="125" t="str">
        <f t="shared" si="33"/>
        <v/>
      </c>
      <c r="F52" s="125" t="str">
        <f t="shared" si="33"/>
        <v/>
      </c>
      <c r="G52" s="125" t="str">
        <f t="shared" si="33"/>
        <v/>
      </c>
      <c r="H52" s="125" t="str">
        <f t="shared" si="33"/>
        <v/>
      </c>
      <c r="I52" s="125" t="str">
        <f t="shared" si="33"/>
        <v/>
      </c>
      <c r="J52" s="125" t="str">
        <f t="shared" si="33"/>
        <v/>
      </c>
      <c r="K52" s="125" t="str">
        <f t="shared" si="33"/>
        <v/>
      </c>
      <c r="L52" s="125" t="str">
        <f t="shared" si="33"/>
        <v/>
      </c>
      <c r="M52" s="125" t="str">
        <f t="shared" si="33"/>
        <v/>
      </c>
      <c r="N52" s="125" t="str">
        <f t="shared" si="33"/>
        <v/>
      </c>
      <c r="O52" s="125" t="str">
        <f t="shared" si="33"/>
        <v/>
      </c>
      <c r="P52" s="125" t="str">
        <f t="shared" si="33"/>
        <v/>
      </c>
    </row>
    <row r="53" spans="1:16" x14ac:dyDescent="0.4">
      <c r="A53" s="76" t="s">
        <v>167</v>
      </c>
      <c r="B53" s="77"/>
      <c r="C53" s="115"/>
      <c r="D53" s="115"/>
      <c r="E53" s="115"/>
      <c r="F53" s="115"/>
      <c r="G53" s="115"/>
      <c r="H53" s="115"/>
      <c r="I53" s="115"/>
      <c r="J53" s="115"/>
      <c r="K53" s="115"/>
      <c r="L53" s="115"/>
      <c r="M53" s="115"/>
      <c r="N53" s="115"/>
      <c r="O53" s="115"/>
      <c r="P53" s="115"/>
    </row>
    <row r="54" spans="1:16" ht="15" customHeight="1" x14ac:dyDescent="0.4">
      <c r="A54" s="81" t="str">
        <f>"残債"&amp;TEXT(借入サマリー!A1,"yyyy年m月d日")&amp;"現在"</f>
        <v>残債2018年8月31日現在</v>
      </c>
      <c r="B54" s="126">
        <f>GETPIVOTDATA("残債",借入サマリー!$A$4)</f>
        <v>2249121016</v>
      </c>
      <c r="C54" s="91">
        <f t="shared" ref="C54:P54" si="34">IF(C$5&gt;1,VLOOKUP(C$5,kariire,20,FALSE),VLOOKUP(C$4,kariire,20,FALSE))</f>
        <v>221344306</v>
      </c>
      <c r="D54" s="91">
        <f t="shared" si="34"/>
        <v>221344306</v>
      </c>
      <c r="E54" s="91">
        <f t="shared" si="34"/>
        <v>221344306</v>
      </c>
      <c r="F54" s="91">
        <f t="shared" si="34"/>
        <v>221344306</v>
      </c>
      <c r="G54" s="91">
        <f t="shared" si="34"/>
        <v>221344306</v>
      </c>
      <c r="H54" s="91">
        <f t="shared" si="34"/>
        <v>221344306</v>
      </c>
      <c r="I54" s="91">
        <f t="shared" si="34"/>
        <v>221344306</v>
      </c>
      <c r="J54" s="91">
        <f t="shared" si="34"/>
        <v>221344306</v>
      </c>
      <c r="K54" s="91">
        <f t="shared" si="34"/>
        <v>59795821</v>
      </c>
      <c r="L54" s="91">
        <f t="shared" si="34"/>
        <v>59795821</v>
      </c>
      <c r="M54" s="91">
        <f t="shared" si="34"/>
        <v>59795821</v>
      </c>
      <c r="N54" s="91">
        <f t="shared" si="34"/>
        <v>59795821</v>
      </c>
      <c r="O54" s="91">
        <f t="shared" si="34"/>
        <v>59795821</v>
      </c>
      <c r="P54" s="91">
        <f t="shared" si="34"/>
        <v>59795821</v>
      </c>
    </row>
    <row r="55" spans="1:16" ht="15" customHeight="1" x14ac:dyDescent="0.4">
      <c r="A55" s="81" t="s">
        <v>168</v>
      </c>
      <c r="B55" s="127">
        <f>GETPIVOTDATA("3支払月額",借入サマリー!$A$31)</f>
        <v>8345608</v>
      </c>
      <c r="C55" s="91">
        <f t="shared" ref="C55:P55" si="35">IF(C$5&gt;1,VLOOKUP(C$5,kariire,19,FALSE),VLOOKUP(C$4,kariire,19,FALSE))</f>
        <v>841516</v>
      </c>
      <c r="D55" s="91">
        <f t="shared" si="35"/>
        <v>841516</v>
      </c>
      <c r="E55" s="91">
        <f t="shared" si="35"/>
        <v>841516</v>
      </c>
      <c r="F55" s="91">
        <f t="shared" si="35"/>
        <v>841516</v>
      </c>
      <c r="G55" s="91">
        <f t="shared" si="35"/>
        <v>841516</v>
      </c>
      <c r="H55" s="91">
        <f t="shared" si="35"/>
        <v>841516</v>
      </c>
      <c r="I55" s="91">
        <f t="shared" si="35"/>
        <v>841516</v>
      </c>
      <c r="J55" s="91">
        <f t="shared" si="35"/>
        <v>841516</v>
      </c>
      <c r="K55" s="91">
        <f t="shared" si="35"/>
        <v>201685</v>
      </c>
      <c r="L55" s="91">
        <f t="shared" si="35"/>
        <v>201685</v>
      </c>
      <c r="M55" s="91">
        <f t="shared" si="35"/>
        <v>201685</v>
      </c>
      <c r="N55" s="91">
        <f t="shared" si="35"/>
        <v>201685</v>
      </c>
      <c r="O55" s="91">
        <f t="shared" si="35"/>
        <v>201685</v>
      </c>
      <c r="P55" s="91">
        <f t="shared" si="35"/>
        <v>201685</v>
      </c>
    </row>
    <row r="56" spans="1:16" ht="15" customHeight="1" x14ac:dyDescent="0.4">
      <c r="A56" s="81" t="s">
        <v>169</v>
      </c>
      <c r="B56" s="127">
        <f>GETPIVOTDATA("1元金返済月額",借入サマリー!$A$31)</f>
        <v>5568256</v>
      </c>
      <c r="C56" s="91">
        <f t="shared" ref="C56:P56" si="36">IF(C$5&gt;1,VLOOKUP(C$5,kariire,17,FALSE),VLOOKUP(C$4,kariire,17,FALSE))</f>
        <v>531822</v>
      </c>
      <c r="D56" s="91">
        <f t="shared" si="36"/>
        <v>531822</v>
      </c>
      <c r="E56" s="91">
        <f t="shared" si="36"/>
        <v>531822</v>
      </c>
      <c r="F56" s="91">
        <f t="shared" si="36"/>
        <v>531822</v>
      </c>
      <c r="G56" s="91">
        <f t="shared" si="36"/>
        <v>531822</v>
      </c>
      <c r="H56" s="91">
        <f t="shared" si="36"/>
        <v>531822</v>
      </c>
      <c r="I56" s="91">
        <f t="shared" si="36"/>
        <v>531822</v>
      </c>
      <c r="J56" s="91">
        <f t="shared" si="36"/>
        <v>531822</v>
      </c>
      <c r="K56" s="91">
        <f t="shared" si="36"/>
        <v>164210</v>
      </c>
      <c r="L56" s="91">
        <f t="shared" si="36"/>
        <v>164210</v>
      </c>
      <c r="M56" s="91">
        <f t="shared" si="36"/>
        <v>164210</v>
      </c>
      <c r="N56" s="91">
        <f t="shared" si="36"/>
        <v>164210</v>
      </c>
      <c r="O56" s="91">
        <f t="shared" si="36"/>
        <v>164210</v>
      </c>
      <c r="P56" s="91">
        <f t="shared" si="36"/>
        <v>164210</v>
      </c>
    </row>
    <row r="57" spans="1:16" ht="15" customHeight="1" x14ac:dyDescent="0.4">
      <c r="A57" s="81" t="s">
        <v>170</v>
      </c>
      <c r="B57" s="127">
        <f>GETPIVOTDATA("2利息月額",借入サマリー!$A$31)</f>
        <v>2777352</v>
      </c>
      <c r="C57" s="91">
        <f t="shared" ref="C57:P57" si="37">IF(C$5&gt;1,VLOOKUP(C$5,kariire,18,FALSE),VLOOKUP(C$4,kariire,18,FALSE))</f>
        <v>309694</v>
      </c>
      <c r="D57" s="91">
        <f t="shared" si="37"/>
        <v>309694</v>
      </c>
      <c r="E57" s="91">
        <f t="shared" si="37"/>
        <v>309694</v>
      </c>
      <c r="F57" s="91">
        <f t="shared" si="37"/>
        <v>309694</v>
      </c>
      <c r="G57" s="91">
        <f t="shared" si="37"/>
        <v>309694</v>
      </c>
      <c r="H57" s="91">
        <f t="shared" si="37"/>
        <v>309694</v>
      </c>
      <c r="I57" s="91">
        <f t="shared" si="37"/>
        <v>309694</v>
      </c>
      <c r="J57" s="91">
        <f t="shared" si="37"/>
        <v>309694</v>
      </c>
      <c r="K57" s="91">
        <f t="shared" si="37"/>
        <v>37475</v>
      </c>
      <c r="L57" s="91">
        <f t="shared" si="37"/>
        <v>37475</v>
      </c>
      <c r="M57" s="91">
        <f t="shared" si="37"/>
        <v>37475</v>
      </c>
      <c r="N57" s="91">
        <f t="shared" si="37"/>
        <v>37475</v>
      </c>
      <c r="O57" s="91">
        <f t="shared" si="37"/>
        <v>37475</v>
      </c>
      <c r="P57" s="91">
        <f t="shared" si="37"/>
        <v>37475</v>
      </c>
    </row>
    <row r="58" spans="1:16" ht="15" customHeight="1" x14ac:dyDescent="0.4">
      <c r="A58" s="81" t="s">
        <v>171</v>
      </c>
      <c r="B58" s="127"/>
      <c r="C58" s="91" t="str">
        <f t="shared" ref="C58:P58" si="38">IF(C$2&gt;1,VLOOKUP(C$2,id_list,17,FALSE)&amp;"",VLOOKUP(C$2,id_list,17,FALSE)&amp;"")</f>
        <v>あり</v>
      </c>
      <c r="D58" s="91" t="str">
        <f t="shared" si="38"/>
        <v>なし</v>
      </c>
      <c r="E58" s="91" t="str">
        <f t="shared" si="38"/>
        <v>なし</v>
      </c>
      <c r="F58" s="91" t="str">
        <f t="shared" si="38"/>
        <v>なし</v>
      </c>
      <c r="G58" s="91" t="str">
        <f t="shared" si="38"/>
        <v>なし</v>
      </c>
      <c r="H58" s="91" t="str">
        <f t="shared" si="38"/>
        <v>なし</v>
      </c>
      <c r="I58" s="91" t="str">
        <f t="shared" si="38"/>
        <v>なし</v>
      </c>
      <c r="J58" s="91" t="str">
        <f t="shared" si="38"/>
        <v>なし</v>
      </c>
      <c r="K58" s="91" t="str">
        <f t="shared" si="38"/>
        <v>なし</v>
      </c>
      <c r="L58" s="91" t="str">
        <f t="shared" si="38"/>
        <v>なし</v>
      </c>
      <c r="M58" s="91" t="str">
        <f t="shared" si="38"/>
        <v>なし</v>
      </c>
      <c r="N58" s="91" t="str">
        <f t="shared" si="38"/>
        <v>なし</v>
      </c>
      <c r="O58" s="91" t="str">
        <f t="shared" si="38"/>
        <v>なし</v>
      </c>
      <c r="P58" s="91" t="str">
        <f t="shared" si="38"/>
        <v>なし</v>
      </c>
    </row>
    <row r="59" spans="1:16" x14ac:dyDescent="0.4">
      <c r="A59" s="76" t="s">
        <v>758</v>
      </c>
      <c r="B59" s="77"/>
      <c r="C59" s="115"/>
      <c r="D59" s="115"/>
      <c r="E59" s="115"/>
      <c r="F59" s="115"/>
      <c r="G59" s="115"/>
      <c r="H59" s="115"/>
      <c r="I59" s="115"/>
      <c r="J59" s="115"/>
      <c r="K59" s="115"/>
      <c r="L59" s="115"/>
      <c r="M59" s="115"/>
      <c r="N59" s="115"/>
      <c r="O59" s="115"/>
      <c r="P59" s="115"/>
    </row>
    <row r="60" spans="1:16" x14ac:dyDescent="0.4">
      <c r="A60" s="81" t="s">
        <v>172</v>
      </c>
      <c r="B60" s="127">
        <f>SUM(C60:AB60)</f>
        <v>34000000</v>
      </c>
      <c r="C60" s="128">
        <f>GETPIVOTDATA("合計 / 当該資産評価額",Pivot!$T$3,"物件ID",C$2,"クラス","土地")</f>
        <v>12000000</v>
      </c>
      <c r="D60" s="128">
        <f>GETPIVOTDATA("合計 / 当該資産評価額",Pivot!$T$3,"物件ID",D$2,"クラス","土地")</f>
        <v>1000000</v>
      </c>
      <c r="E60" s="128">
        <f>GETPIVOTDATA("合計 / 当該資産評価額",Pivot!$T$3,"物件ID",E$2,"クラス","土地")</f>
        <v>1000000</v>
      </c>
      <c r="F60" s="128">
        <f>GETPIVOTDATA("合計 / 当該資産評価額",Pivot!$T$3,"物件ID",F$2,"クラス","土地")</f>
        <v>1000000</v>
      </c>
      <c r="G60" s="128">
        <f>GETPIVOTDATA("合計 / 当該資産評価額",Pivot!$T$3,"物件ID",G$2,"クラス","土地")</f>
        <v>1000000</v>
      </c>
      <c r="H60" s="128">
        <f>GETPIVOTDATA("合計 / 当該資産評価額",Pivot!$T$3,"物件ID",H$2,"クラス","土地")</f>
        <v>10000000</v>
      </c>
      <c r="I60" s="128">
        <f>GETPIVOTDATA("合計 / 当該資産評価額",Pivot!$T$3,"物件ID",I$2,"クラス","土地")</f>
        <v>1000000</v>
      </c>
      <c r="J60" s="128">
        <f>GETPIVOTDATA("合計 / 当該資産評価額",Pivot!$T$3,"物件ID",J$2,"クラス","土地")</f>
        <v>1000000</v>
      </c>
      <c r="K60" s="128">
        <f>GETPIVOTDATA("合計 / 当該資産評価額",Pivot!$T$3,"物件ID",K$2,"クラス","土地")</f>
        <v>1000000</v>
      </c>
      <c r="L60" s="128">
        <f>GETPIVOTDATA("合計 / 当該資産評価額",Pivot!$T$3,"物件ID",L$2,"クラス","土地")</f>
        <v>1000000</v>
      </c>
      <c r="M60" s="128">
        <f>GETPIVOTDATA("合計 / 当該資産評価額",Pivot!$T$3,"物件ID",M$2,"クラス","土地")</f>
        <v>1000000</v>
      </c>
      <c r="N60" s="128">
        <f>GETPIVOTDATA("合計 / 当該資産評価額",Pivot!$T$3,"物件ID",N$2,"クラス","土地")</f>
        <v>1000000</v>
      </c>
      <c r="O60" s="128">
        <f>GETPIVOTDATA("合計 / 当該資産評価額",Pivot!$T$3,"物件ID",O$2,"クラス","土地")</f>
        <v>1000000</v>
      </c>
      <c r="P60" s="128">
        <f>GETPIVOTDATA("合計 / 当該資産評価額",Pivot!$T$3,"物件ID",P$2,"クラス","土地")</f>
        <v>1000000</v>
      </c>
    </row>
    <row r="61" spans="1:16" x14ac:dyDescent="0.4">
      <c r="A61" s="81" t="s">
        <v>173</v>
      </c>
      <c r="B61" s="127">
        <f>SUM(C61:AB61)</f>
        <v>131000000</v>
      </c>
      <c r="C61" s="128">
        <f>GETPIVOTDATA("合計 / 当該資産評価額",Pivot!$T$3,"物件ID",C$2,"クラス","建物")</f>
        <v>10000000</v>
      </c>
      <c r="D61" s="128">
        <f>GETPIVOTDATA("合計 / 当該資産評価額",Pivot!$T$3,"物件ID",D$2,"クラス","建物")</f>
        <v>10000000</v>
      </c>
      <c r="E61" s="128">
        <f>GETPIVOTDATA("合計 / 当該資産評価額",Pivot!$T$3,"物件ID",E$2,"クラス","建物")</f>
        <v>10000000</v>
      </c>
      <c r="F61" s="128">
        <f>GETPIVOTDATA("合計 / 当該資産評価額",Pivot!$T$3,"物件ID",F$2,"クラス","建物")</f>
        <v>10000000</v>
      </c>
      <c r="G61" s="128">
        <f>GETPIVOTDATA("合計 / 当該資産評価額",Pivot!$T$3,"物件ID",G$2,"クラス","建物")</f>
        <v>10000000</v>
      </c>
      <c r="H61" s="128">
        <f>GETPIVOTDATA("合計 / 当該資産評価額",Pivot!$T$3,"物件ID",H$2,"クラス","建物")</f>
        <v>1000000</v>
      </c>
      <c r="I61" s="128">
        <f>GETPIVOTDATA("合計 / 当該資産評価額",Pivot!$T$3,"物件ID",I$2,"クラス","建物")</f>
        <v>10000000</v>
      </c>
      <c r="J61" s="128">
        <f>GETPIVOTDATA("合計 / 当該資産評価額",Pivot!$T$3,"物件ID",J$2,"クラス","建物")</f>
        <v>10000000</v>
      </c>
      <c r="K61" s="128">
        <f>GETPIVOTDATA("合計 / 当該資産評価額",Pivot!$T$3,"物件ID",K$2,"クラス","建物")</f>
        <v>10000000</v>
      </c>
      <c r="L61" s="128">
        <f>GETPIVOTDATA("合計 / 当該資産評価額",Pivot!$T$3,"物件ID",L$2,"クラス","建物")</f>
        <v>10000000</v>
      </c>
      <c r="M61" s="128">
        <f>GETPIVOTDATA("合計 / 当該資産評価額",Pivot!$T$3,"物件ID",M$2,"クラス","建物")</f>
        <v>10000000</v>
      </c>
      <c r="N61" s="128">
        <f>GETPIVOTDATA("合計 / 当該資産評価額",Pivot!$T$3,"物件ID",N$2,"クラス","建物")</f>
        <v>10000000</v>
      </c>
      <c r="O61" s="128">
        <f>GETPIVOTDATA("合計 / 当該資産評価額",Pivot!$T$3,"物件ID",O$2,"クラス","建物")</f>
        <v>10000000</v>
      </c>
      <c r="P61" s="128">
        <f>GETPIVOTDATA("合計 / 当該資産評価額",Pivot!$T$3,"物件ID",P$2,"クラス","建物")</f>
        <v>10000000</v>
      </c>
    </row>
    <row r="62" spans="1:16" x14ac:dyDescent="0.4">
      <c r="A62" s="81" t="s">
        <v>174</v>
      </c>
      <c r="B62" s="127">
        <f>SUM(C62:AB62)</f>
        <v>765000</v>
      </c>
      <c r="C62" s="128">
        <f>GETPIVOTDATA("合計 / 当期固定資産税額",Pivot!$T$3,"物件ID",C$2)</f>
        <v>102000</v>
      </c>
      <c r="D62" s="128">
        <f>GETPIVOTDATA("合計 / 当期固定資産税額",Pivot!$T$3,"物件ID",D$2)</f>
        <v>51000</v>
      </c>
      <c r="E62" s="128">
        <f>GETPIVOTDATA("合計 / 当期固定資産税額",Pivot!$T$3,"物件ID",E$2)</f>
        <v>51000</v>
      </c>
      <c r="F62" s="128">
        <f>GETPIVOTDATA("合計 / 当期固定資産税額",Pivot!$T$3,"物件ID",F$2)</f>
        <v>51000</v>
      </c>
      <c r="G62" s="128">
        <f>GETPIVOTDATA("合計 / 当期固定資産税額",Pivot!$T$3,"物件ID",G$2)</f>
        <v>51000</v>
      </c>
      <c r="H62" s="128">
        <f>GETPIVOTDATA("合計 / 当期固定資産税額",Pivot!$T$3,"物件ID",H$2)</f>
        <v>51000</v>
      </c>
      <c r="I62" s="128">
        <f>GETPIVOTDATA("合計 / 当期固定資産税額",Pivot!$T$3,"物件ID",I$2)</f>
        <v>51000</v>
      </c>
      <c r="J62" s="128">
        <f>GETPIVOTDATA("合計 / 当期固定資産税額",Pivot!$T$3,"物件ID",J$2)</f>
        <v>51000</v>
      </c>
      <c r="K62" s="128">
        <f>GETPIVOTDATA("合計 / 当期固定資産税額",Pivot!$T$3,"物件ID",K$2)</f>
        <v>51000</v>
      </c>
      <c r="L62" s="128">
        <f>GETPIVOTDATA("合計 / 当期固定資産税額",Pivot!$T$3,"物件ID",L$2)</f>
        <v>51000</v>
      </c>
      <c r="M62" s="128">
        <f>GETPIVOTDATA("合計 / 当期固定資産税額",Pivot!$T$3,"物件ID",M$2)</f>
        <v>51000</v>
      </c>
      <c r="N62" s="128">
        <f>GETPIVOTDATA("合計 / 当期固定資産税額",Pivot!$T$3,"物件ID",N$2)</f>
        <v>51000</v>
      </c>
      <c r="O62" s="128">
        <f>GETPIVOTDATA("合計 / 当期固定資産税額",Pivot!$T$3,"物件ID",O$2)</f>
        <v>51000</v>
      </c>
      <c r="P62" s="128">
        <f>GETPIVOTDATA("合計 / 当期固定資産税額",Pivot!$T$3,"物件ID",P$2)</f>
        <v>51000</v>
      </c>
    </row>
    <row r="63" spans="1:16" x14ac:dyDescent="0.4">
      <c r="A63" s="81" t="s">
        <v>175</v>
      </c>
      <c r="B63" s="127">
        <f>SUM(C63:AB63)</f>
        <v>165000</v>
      </c>
      <c r="C63" s="128">
        <f>GETPIVOTDATA("合計 / 当期都市計画税額",Pivot!$T$3,"物件ID",C$2)</f>
        <v>22000</v>
      </c>
      <c r="D63" s="128">
        <f>GETPIVOTDATA("合計 / 当期都市計画税額",Pivot!$T$3,"物件ID",D$2)</f>
        <v>11000</v>
      </c>
      <c r="E63" s="128">
        <f>GETPIVOTDATA("合計 / 当期都市計画税額",Pivot!$T$3,"物件ID",E$2)</f>
        <v>11000</v>
      </c>
      <c r="F63" s="128">
        <f>GETPIVOTDATA("合計 / 当期都市計画税額",Pivot!$T$3,"物件ID",F$2)</f>
        <v>11000</v>
      </c>
      <c r="G63" s="128">
        <f>GETPIVOTDATA("合計 / 当期都市計画税額",Pivot!$T$3,"物件ID",G$2)</f>
        <v>11000</v>
      </c>
      <c r="H63" s="128">
        <f>GETPIVOTDATA("合計 / 当期都市計画税額",Pivot!$T$3,"物件ID",H$2)</f>
        <v>11000</v>
      </c>
      <c r="I63" s="128">
        <f>GETPIVOTDATA("合計 / 当期都市計画税額",Pivot!$T$3,"物件ID",I$2)</f>
        <v>11000</v>
      </c>
      <c r="J63" s="128">
        <f>GETPIVOTDATA("合計 / 当期都市計画税額",Pivot!$T$3,"物件ID",J$2)</f>
        <v>11000</v>
      </c>
      <c r="K63" s="128">
        <f>GETPIVOTDATA("合計 / 当期都市計画税額",Pivot!$T$3,"物件ID",K$2)</f>
        <v>11000</v>
      </c>
      <c r="L63" s="128">
        <f>GETPIVOTDATA("合計 / 当期都市計画税額",Pivot!$T$3,"物件ID",L$2)</f>
        <v>11000</v>
      </c>
      <c r="M63" s="128">
        <f>GETPIVOTDATA("合計 / 当期都市計画税額",Pivot!$T$3,"物件ID",M$2)</f>
        <v>11000</v>
      </c>
      <c r="N63" s="128">
        <f>GETPIVOTDATA("合計 / 当期都市計画税額",Pivot!$T$3,"物件ID",N$2)</f>
        <v>11000</v>
      </c>
      <c r="O63" s="128">
        <f>GETPIVOTDATA("合計 / 当期都市計画税額",Pivot!$T$3,"物件ID",O$2)</f>
        <v>11000</v>
      </c>
      <c r="P63" s="128">
        <f>GETPIVOTDATA("合計 / 当期都市計画税額",Pivot!$T$3,"物件ID",P$2)</f>
        <v>11000</v>
      </c>
    </row>
    <row r="64" spans="1:16" x14ac:dyDescent="0.4">
      <c r="A64" s="81" t="s">
        <v>176</v>
      </c>
      <c r="B64" s="127" t="s">
        <v>177</v>
      </c>
      <c r="C64" s="128">
        <f t="shared" ref="C64:P64" si="39">VLOOKUP(C$2,id_list,18,FALSE)</f>
        <v>87800</v>
      </c>
      <c r="D64" s="128">
        <f t="shared" si="39"/>
        <v>90000</v>
      </c>
      <c r="E64" s="128">
        <f t="shared" si="39"/>
        <v>95000</v>
      </c>
      <c r="F64" s="128">
        <f t="shared" si="39"/>
        <v>87800</v>
      </c>
      <c r="G64" s="128">
        <f t="shared" si="39"/>
        <v>90000</v>
      </c>
      <c r="H64" s="128">
        <f t="shared" si="39"/>
        <v>95000</v>
      </c>
      <c r="I64" s="128">
        <f t="shared" si="39"/>
        <v>87800</v>
      </c>
      <c r="J64" s="128">
        <f t="shared" si="39"/>
        <v>90000</v>
      </c>
      <c r="K64" s="128" t="str">
        <f t="shared" si="39"/>
        <v>N/A</v>
      </c>
      <c r="L64" s="128" t="str">
        <f t="shared" si="39"/>
        <v>N/A</v>
      </c>
      <c r="M64" s="128" t="str">
        <f t="shared" si="39"/>
        <v>N/A</v>
      </c>
      <c r="N64" s="128" t="str">
        <f t="shared" si="39"/>
        <v>N/A</v>
      </c>
      <c r="O64" s="128" t="str">
        <f t="shared" si="39"/>
        <v>N/A</v>
      </c>
      <c r="P64" s="128" t="str">
        <f t="shared" si="39"/>
        <v>N/A</v>
      </c>
    </row>
    <row r="65" spans="1:16" x14ac:dyDescent="0.4">
      <c r="A65" s="81" t="s">
        <v>178</v>
      </c>
      <c r="B65" s="127" t="s">
        <v>177</v>
      </c>
      <c r="C65" s="128" t="str">
        <f t="shared" ref="C65:P65" si="40">VLOOKUP(C$2,id_list,19,FALSE)</f>
        <v>105D</v>
      </c>
      <c r="D65" s="128" t="str">
        <f t="shared" si="40"/>
        <v>110D</v>
      </c>
      <c r="E65" s="128" t="str">
        <f t="shared" si="40"/>
        <v>120D</v>
      </c>
      <c r="F65" s="128" t="str">
        <f t="shared" si="40"/>
        <v>105D</v>
      </c>
      <c r="G65" s="128" t="str">
        <f t="shared" si="40"/>
        <v>110D</v>
      </c>
      <c r="H65" s="128" t="str">
        <f t="shared" si="40"/>
        <v>120D</v>
      </c>
      <c r="I65" s="128" t="str">
        <f t="shared" si="40"/>
        <v>105D</v>
      </c>
      <c r="J65" s="128" t="str">
        <f t="shared" si="40"/>
        <v>110D</v>
      </c>
      <c r="K65" s="128" t="str">
        <f t="shared" si="40"/>
        <v>N/A</v>
      </c>
      <c r="L65" s="128" t="str">
        <f t="shared" si="40"/>
        <v>N/A</v>
      </c>
      <c r="M65" s="128" t="str">
        <f t="shared" si="40"/>
        <v>N/A</v>
      </c>
      <c r="N65" s="128" t="str">
        <f t="shared" si="40"/>
        <v>N/A</v>
      </c>
      <c r="O65" s="128" t="str">
        <f t="shared" si="40"/>
        <v>N/A</v>
      </c>
      <c r="P65" s="128" t="str">
        <f t="shared" si="40"/>
        <v>N/A</v>
      </c>
    </row>
    <row r="66" spans="1:16" x14ac:dyDescent="0.4">
      <c r="A66" s="76" t="s">
        <v>180</v>
      </c>
      <c r="B66" s="129"/>
      <c r="C66" s="115"/>
      <c r="D66" s="115"/>
      <c r="E66" s="115"/>
      <c r="F66" s="115"/>
      <c r="G66" s="115"/>
      <c r="H66" s="115"/>
      <c r="I66" s="115"/>
      <c r="J66" s="115"/>
      <c r="K66" s="115"/>
      <c r="L66" s="115"/>
      <c r="M66" s="115"/>
      <c r="N66" s="115"/>
      <c r="O66" s="115"/>
      <c r="P66" s="115"/>
    </row>
    <row r="67" spans="1:16" ht="15" customHeight="1" x14ac:dyDescent="0.4">
      <c r="A67" s="98" t="s">
        <v>181</v>
      </c>
      <c r="B67" s="130">
        <f t="shared" ref="B67:B72" si="41">SUM(C67:AZ67)</f>
        <v>14000</v>
      </c>
      <c r="C67" s="131">
        <f t="shared" ref="C67:P67" si="42">VLOOKUP(C$2,id_list,21,FALSE)</f>
        <v>1600</v>
      </c>
      <c r="D67" s="131">
        <f t="shared" si="42"/>
        <v>1600</v>
      </c>
      <c r="E67" s="131">
        <f t="shared" si="42"/>
        <v>1600</v>
      </c>
      <c r="F67" s="131">
        <f t="shared" si="42"/>
        <v>1600</v>
      </c>
      <c r="G67" s="131">
        <f t="shared" si="42"/>
        <v>1600</v>
      </c>
      <c r="H67" s="131">
        <f t="shared" si="42"/>
        <v>1600</v>
      </c>
      <c r="I67" s="131">
        <f t="shared" si="42"/>
        <v>1600</v>
      </c>
      <c r="J67" s="131">
        <f t="shared" si="42"/>
        <v>1600</v>
      </c>
      <c r="K67" s="131">
        <f t="shared" si="42"/>
        <v>200</v>
      </c>
      <c r="L67" s="131">
        <f t="shared" si="42"/>
        <v>200</v>
      </c>
      <c r="M67" s="131">
        <f t="shared" si="42"/>
        <v>200</v>
      </c>
      <c r="N67" s="131">
        <f t="shared" si="42"/>
        <v>200</v>
      </c>
      <c r="O67" s="131">
        <f t="shared" si="42"/>
        <v>200</v>
      </c>
      <c r="P67" s="131">
        <f t="shared" si="42"/>
        <v>200</v>
      </c>
    </row>
    <row r="68" spans="1:16" ht="15" customHeight="1" x14ac:dyDescent="0.4">
      <c r="A68" s="98" t="s">
        <v>182</v>
      </c>
      <c r="B68" s="132">
        <f t="shared" si="41"/>
        <v>1245</v>
      </c>
      <c r="C68" s="131">
        <f t="shared" ref="C68:P68" si="43">VLOOKUP(C$2,shoukyaku_table,13,FALSE)/10000</f>
        <v>120</v>
      </c>
      <c r="D68" s="131">
        <f t="shared" si="43"/>
        <v>125</v>
      </c>
      <c r="E68" s="131">
        <f t="shared" si="43"/>
        <v>125</v>
      </c>
      <c r="F68" s="131">
        <f t="shared" si="43"/>
        <v>125</v>
      </c>
      <c r="G68" s="131">
        <f t="shared" si="43"/>
        <v>120</v>
      </c>
      <c r="H68" s="131">
        <f t="shared" si="43"/>
        <v>120</v>
      </c>
      <c r="I68" s="131">
        <f t="shared" si="43"/>
        <v>120</v>
      </c>
      <c r="J68" s="131">
        <f t="shared" si="43"/>
        <v>120</v>
      </c>
      <c r="K68" s="131">
        <f t="shared" si="43"/>
        <v>45</v>
      </c>
      <c r="L68" s="131">
        <f t="shared" si="43"/>
        <v>45</v>
      </c>
      <c r="M68" s="131">
        <f t="shared" si="43"/>
        <v>45</v>
      </c>
      <c r="N68" s="131">
        <f t="shared" si="43"/>
        <v>45</v>
      </c>
      <c r="O68" s="131">
        <f t="shared" si="43"/>
        <v>45</v>
      </c>
      <c r="P68" s="131">
        <f t="shared" si="43"/>
        <v>45</v>
      </c>
    </row>
    <row r="69" spans="1:16" ht="15" customHeight="1" x14ac:dyDescent="0.4">
      <c r="A69" s="98" t="s">
        <v>183</v>
      </c>
      <c r="B69" s="132">
        <f t="shared" si="41"/>
        <v>3242.8823999999981</v>
      </c>
      <c r="C69" s="131">
        <f t="shared" ref="C69:D69" si="44">C57*12/10000</f>
        <v>371.63279999999997</v>
      </c>
      <c r="D69" s="131">
        <f t="shared" si="44"/>
        <v>371.63279999999997</v>
      </c>
      <c r="E69" s="131">
        <f t="shared" ref="E69:G69" si="45">E57*12/10000</f>
        <v>371.63279999999997</v>
      </c>
      <c r="F69" s="131">
        <f t="shared" si="45"/>
        <v>371.63279999999997</v>
      </c>
      <c r="G69" s="131">
        <f t="shared" si="45"/>
        <v>371.63279999999997</v>
      </c>
      <c r="H69" s="131">
        <f t="shared" ref="H69:I69" si="46">H57*12/10000</f>
        <v>371.63279999999997</v>
      </c>
      <c r="I69" s="131">
        <f t="shared" si="46"/>
        <v>371.63279999999997</v>
      </c>
      <c r="J69" s="131">
        <f t="shared" ref="J69:K69" si="47">J57*12/10000</f>
        <v>371.63279999999997</v>
      </c>
      <c r="K69" s="131">
        <f t="shared" si="47"/>
        <v>44.97</v>
      </c>
      <c r="L69" s="131">
        <f t="shared" ref="L69:M69" si="48">L57*12/10000</f>
        <v>44.97</v>
      </c>
      <c r="M69" s="131">
        <f t="shared" si="48"/>
        <v>44.97</v>
      </c>
      <c r="N69" s="131">
        <f t="shared" ref="N69:O69" si="49">N57*12/10000</f>
        <v>44.97</v>
      </c>
      <c r="O69" s="131">
        <f t="shared" si="49"/>
        <v>44.97</v>
      </c>
      <c r="P69" s="131">
        <f t="shared" ref="P69" si="50">P57*12/10000</f>
        <v>44.97</v>
      </c>
    </row>
    <row r="70" spans="1:16" ht="15" customHeight="1" x14ac:dyDescent="0.4">
      <c r="A70" s="98" t="s">
        <v>184</v>
      </c>
      <c r="B70" s="132">
        <f t="shared" si="41"/>
        <v>9512.1176000000069</v>
      </c>
      <c r="C70" s="131">
        <f t="shared" ref="C70:P70" si="51">C67-C68-C69</f>
        <v>1108.3672000000001</v>
      </c>
      <c r="D70" s="131">
        <f t="shared" si="51"/>
        <v>1103.3672000000001</v>
      </c>
      <c r="E70" s="131">
        <f t="shared" si="51"/>
        <v>1103.3672000000001</v>
      </c>
      <c r="F70" s="131">
        <f t="shared" si="51"/>
        <v>1103.3672000000001</v>
      </c>
      <c r="G70" s="131">
        <f t="shared" si="51"/>
        <v>1108.3672000000001</v>
      </c>
      <c r="H70" s="131">
        <f t="shared" si="51"/>
        <v>1108.3672000000001</v>
      </c>
      <c r="I70" s="131">
        <f t="shared" si="51"/>
        <v>1108.3672000000001</v>
      </c>
      <c r="J70" s="131">
        <f t="shared" si="51"/>
        <v>1108.3672000000001</v>
      </c>
      <c r="K70" s="131">
        <f t="shared" si="51"/>
        <v>110.03</v>
      </c>
      <c r="L70" s="131">
        <f t="shared" si="51"/>
        <v>110.03</v>
      </c>
      <c r="M70" s="131">
        <f t="shared" si="51"/>
        <v>110.03</v>
      </c>
      <c r="N70" s="131">
        <f t="shared" si="51"/>
        <v>110.03</v>
      </c>
      <c r="O70" s="131">
        <f t="shared" si="51"/>
        <v>110.03</v>
      </c>
      <c r="P70" s="131">
        <f t="shared" si="51"/>
        <v>110.03</v>
      </c>
    </row>
    <row r="71" spans="1:16" ht="15" customHeight="1" x14ac:dyDescent="0.4">
      <c r="A71" s="98" t="s">
        <v>185</v>
      </c>
      <c r="B71" s="132">
        <f t="shared" si="41"/>
        <v>6658.4823199999983</v>
      </c>
      <c r="C71" s="131">
        <f t="shared" ref="C71:D71" si="52">C70*0.7</f>
        <v>775.8570400000001</v>
      </c>
      <c r="D71" s="131">
        <f t="shared" si="52"/>
        <v>772.3570400000001</v>
      </c>
      <c r="E71" s="131">
        <f t="shared" ref="E71:G71" si="53">E70*0.7</f>
        <v>772.3570400000001</v>
      </c>
      <c r="F71" s="131">
        <f t="shared" si="53"/>
        <v>772.3570400000001</v>
      </c>
      <c r="G71" s="131">
        <f t="shared" si="53"/>
        <v>775.8570400000001</v>
      </c>
      <c r="H71" s="131">
        <f t="shared" ref="H71:I71" si="54">H70*0.7</f>
        <v>775.8570400000001</v>
      </c>
      <c r="I71" s="131">
        <f t="shared" si="54"/>
        <v>775.8570400000001</v>
      </c>
      <c r="J71" s="131">
        <f t="shared" ref="J71:K71" si="55">J70*0.7</f>
        <v>775.8570400000001</v>
      </c>
      <c r="K71" s="131">
        <f t="shared" si="55"/>
        <v>77.021000000000001</v>
      </c>
      <c r="L71" s="131">
        <f t="shared" ref="L71:M71" si="56">L70*0.7</f>
        <v>77.021000000000001</v>
      </c>
      <c r="M71" s="131">
        <f t="shared" si="56"/>
        <v>77.021000000000001</v>
      </c>
      <c r="N71" s="131">
        <f t="shared" ref="N71:O71" si="57">N70*0.7</f>
        <v>77.021000000000001</v>
      </c>
      <c r="O71" s="131">
        <f t="shared" si="57"/>
        <v>77.021000000000001</v>
      </c>
      <c r="P71" s="131">
        <f t="shared" ref="P71" si="58">P70*0.7</f>
        <v>77.021000000000001</v>
      </c>
    </row>
    <row r="72" spans="1:16" ht="15" customHeight="1" x14ac:dyDescent="0.4">
      <c r="A72" s="133" t="s">
        <v>186</v>
      </c>
      <c r="B72" s="132">
        <f t="shared" si="41"/>
        <v>1615.6791200000007</v>
      </c>
      <c r="C72" s="131">
        <f t="shared" ref="C72:D72" si="59">(C71+C68)-(C56*12)/10000</f>
        <v>257.67064000000005</v>
      </c>
      <c r="D72" s="131">
        <f t="shared" si="59"/>
        <v>259.17064000000005</v>
      </c>
      <c r="E72" s="131">
        <f t="shared" ref="E72:G72" si="60">(E71+E68)-(E56*12)/10000</f>
        <v>259.17064000000005</v>
      </c>
      <c r="F72" s="131">
        <f t="shared" si="60"/>
        <v>259.17064000000005</v>
      </c>
      <c r="G72" s="131">
        <f t="shared" si="60"/>
        <v>257.67064000000005</v>
      </c>
      <c r="H72" s="131">
        <f t="shared" ref="H72:I72" si="61">(H71+H68)-(H56*12)/10000</f>
        <v>257.67064000000005</v>
      </c>
      <c r="I72" s="131">
        <f t="shared" si="61"/>
        <v>257.67064000000005</v>
      </c>
      <c r="J72" s="131">
        <f t="shared" ref="J72:K72" si="62">(J71+J68)-(J56*12)/10000</f>
        <v>257.67064000000005</v>
      </c>
      <c r="K72" s="131">
        <f t="shared" si="62"/>
        <v>-75.030999999999992</v>
      </c>
      <c r="L72" s="131">
        <f t="shared" ref="L72:M72" si="63">(L71+L68)-(L56*12)/10000</f>
        <v>-75.030999999999992</v>
      </c>
      <c r="M72" s="131">
        <f t="shared" si="63"/>
        <v>-75.030999999999992</v>
      </c>
      <c r="N72" s="131">
        <f t="shared" ref="N72:O72" si="64">(N71+N68)-(N56*12)/10000</f>
        <v>-75.030999999999992</v>
      </c>
      <c r="O72" s="131">
        <f t="shared" si="64"/>
        <v>-75.030999999999992</v>
      </c>
      <c r="P72" s="131">
        <f t="shared" ref="P72" si="65">(P71+P68)-(P56*12)/10000</f>
        <v>-75.030999999999992</v>
      </c>
    </row>
    <row r="73" spans="1:16" ht="15" customHeight="1" x14ac:dyDescent="0.4">
      <c r="A73" s="133" t="s">
        <v>187</v>
      </c>
      <c r="B73" s="134"/>
      <c r="C73" s="135">
        <f t="shared" ref="C73:P73" si="66">VLOOKUP(C$2,id_list,22,FALSE)</f>
        <v>7.0000000000000007E-2</v>
      </c>
      <c r="D73" s="135">
        <f t="shared" si="66"/>
        <v>7.0000000000000007E-2</v>
      </c>
      <c r="E73" s="135">
        <f t="shared" si="66"/>
        <v>7.0000000000000007E-2</v>
      </c>
      <c r="F73" s="135">
        <f t="shared" si="66"/>
        <v>7.0000000000000007E-2</v>
      </c>
      <c r="G73" s="135">
        <f t="shared" si="66"/>
        <v>7.0000000000000007E-2</v>
      </c>
      <c r="H73" s="135">
        <f t="shared" si="66"/>
        <v>7.0000000000000007E-2</v>
      </c>
      <c r="I73" s="135">
        <f t="shared" si="66"/>
        <v>7.0000000000000007E-2</v>
      </c>
      <c r="J73" s="135">
        <f t="shared" si="66"/>
        <v>7.0000000000000007E-2</v>
      </c>
      <c r="K73" s="135">
        <f t="shared" si="66"/>
        <v>6.5000000000000002E-2</v>
      </c>
      <c r="L73" s="135">
        <f t="shared" si="66"/>
        <v>6.5000000000000002E-2</v>
      </c>
      <c r="M73" s="135">
        <f t="shared" si="66"/>
        <v>6.5000000000000002E-2</v>
      </c>
      <c r="N73" s="135">
        <f t="shared" si="66"/>
        <v>6.5000000000000002E-2</v>
      </c>
      <c r="O73" s="135">
        <f t="shared" si="66"/>
        <v>6.5000000000000002E-2</v>
      </c>
      <c r="P73" s="135">
        <f t="shared" si="66"/>
        <v>6.5000000000000002E-2</v>
      </c>
    </row>
    <row r="74" spans="1:16" ht="15" customHeight="1" x14ac:dyDescent="0.4">
      <c r="A74" s="133" t="s">
        <v>188</v>
      </c>
      <c r="B74" s="132">
        <f>SUM(C74:AZ74)</f>
        <v>274300</v>
      </c>
      <c r="C74" s="131">
        <f t="shared" ref="C74:D74" si="67">ROUND(C28/C73/10000,-2)</f>
        <v>30500</v>
      </c>
      <c r="D74" s="131">
        <f t="shared" si="67"/>
        <v>29900</v>
      </c>
      <c r="E74" s="131">
        <f t="shared" ref="E74:G74" si="68">ROUND(E28/E73/10000,-2)</f>
        <v>29900</v>
      </c>
      <c r="F74" s="131">
        <f t="shared" si="68"/>
        <v>29900</v>
      </c>
      <c r="G74" s="131">
        <f t="shared" si="68"/>
        <v>29900</v>
      </c>
      <c r="H74" s="131">
        <f t="shared" ref="H74:I74" si="69">ROUND(H28/H73/10000,-2)</f>
        <v>29900</v>
      </c>
      <c r="I74" s="131">
        <f t="shared" si="69"/>
        <v>29900</v>
      </c>
      <c r="J74" s="131">
        <f t="shared" ref="J74:K74" si="70">ROUND(J28/J73/10000,-2)</f>
        <v>29900</v>
      </c>
      <c r="K74" s="131">
        <f t="shared" si="70"/>
        <v>5600</v>
      </c>
      <c r="L74" s="131">
        <f t="shared" ref="L74:M74" si="71">ROUND(L28/L73/10000,-2)</f>
        <v>5600</v>
      </c>
      <c r="M74" s="131">
        <f t="shared" si="71"/>
        <v>5600</v>
      </c>
      <c r="N74" s="131">
        <f t="shared" ref="N74:O74" si="72">ROUND(N28/N73/10000,-2)</f>
        <v>5600</v>
      </c>
      <c r="O74" s="131">
        <f t="shared" si="72"/>
        <v>5600</v>
      </c>
      <c r="P74" s="131">
        <f t="shared" ref="P74" si="73">ROUND(P28/P73/10000,-2)</f>
        <v>6500</v>
      </c>
    </row>
    <row r="75" spans="1:16" ht="15" customHeight="1" x14ac:dyDescent="0.4">
      <c r="A75" s="133" t="str">
        <f>"建物等簿価"&amp;TEXT(減価償却!A2,"yyyy年m月d日")&amp;"現在"</f>
        <v>建物等簿価2018年3月31日現在</v>
      </c>
      <c r="B75" s="130">
        <f>SUM(C75:AZ75)</f>
        <v>28800</v>
      </c>
      <c r="C75" s="131">
        <f t="shared" ref="C75:P75" si="74">VLOOKUP(C$2,shoukyaku_table,4,FALSE)/10000</f>
        <v>3000</v>
      </c>
      <c r="D75" s="131">
        <f t="shared" si="74"/>
        <v>3000</v>
      </c>
      <c r="E75" s="131">
        <f t="shared" si="74"/>
        <v>3000</v>
      </c>
      <c r="F75" s="131">
        <f t="shared" si="74"/>
        <v>3000</v>
      </c>
      <c r="G75" s="131">
        <f t="shared" si="74"/>
        <v>3000</v>
      </c>
      <c r="H75" s="131">
        <f t="shared" si="74"/>
        <v>3000</v>
      </c>
      <c r="I75" s="131">
        <f t="shared" si="74"/>
        <v>3000</v>
      </c>
      <c r="J75" s="131">
        <f t="shared" si="74"/>
        <v>3000</v>
      </c>
      <c r="K75" s="131">
        <f t="shared" si="74"/>
        <v>800</v>
      </c>
      <c r="L75" s="131">
        <f t="shared" si="74"/>
        <v>800</v>
      </c>
      <c r="M75" s="131">
        <f t="shared" si="74"/>
        <v>800</v>
      </c>
      <c r="N75" s="131">
        <f t="shared" si="74"/>
        <v>800</v>
      </c>
      <c r="O75" s="131">
        <f t="shared" si="74"/>
        <v>800</v>
      </c>
      <c r="P75" s="131">
        <f t="shared" si="74"/>
        <v>800</v>
      </c>
    </row>
    <row r="76" spans="1:16" ht="15" customHeight="1" x14ac:dyDescent="0.4">
      <c r="A76" s="133" t="str">
        <f>"土地簿価"&amp;TEXT(減価償却!A2,"yyyy年m月d日")&amp;"現在"</f>
        <v>土地簿価2018年3月31日現在</v>
      </c>
      <c r="B76" s="130">
        <f>SUM(C76:AZ76)</f>
        <v>196000</v>
      </c>
      <c r="C76" s="131">
        <f t="shared" ref="C76:P76" si="75">VLOOKUP(C$2,shoukyaku_table,3,FALSE)/10000</f>
        <v>20000</v>
      </c>
      <c r="D76" s="131">
        <f t="shared" si="75"/>
        <v>20000</v>
      </c>
      <c r="E76" s="131">
        <f t="shared" si="75"/>
        <v>20000</v>
      </c>
      <c r="F76" s="131">
        <f t="shared" si="75"/>
        <v>20000</v>
      </c>
      <c r="G76" s="131">
        <f t="shared" si="75"/>
        <v>20000</v>
      </c>
      <c r="H76" s="131">
        <f t="shared" si="75"/>
        <v>20000</v>
      </c>
      <c r="I76" s="131">
        <f t="shared" si="75"/>
        <v>20000</v>
      </c>
      <c r="J76" s="131">
        <f t="shared" si="75"/>
        <v>20000</v>
      </c>
      <c r="K76" s="131">
        <f t="shared" si="75"/>
        <v>6000</v>
      </c>
      <c r="L76" s="131">
        <f t="shared" si="75"/>
        <v>6000</v>
      </c>
      <c r="M76" s="131">
        <f t="shared" si="75"/>
        <v>6000</v>
      </c>
      <c r="N76" s="131">
        <f t="shared" si="75"/>
        <v>6000</v>
      </c>
      <c r="O76" s="131">
        <f t="shared" si="75"/>
        <v>6000</v>
      </c>
      <c r="P76" s="131">
        <f t="shared" si="75"/>
        <v>6000</v>
      </c>
    </row>
    <row r="77" spans="1:16" ht="15" customHeight="1" x14ac:dyDescent="0.4">
      <c r="A77" s="133" t="str">
        <f>"簿価合計"&amp;TEXT(減価償却!A2,"yyyy年m月d日")&amp;"現在"</f>
        <v>簿価合計2018年3月31日現在</v>
      </c>
      <c r="B77" s="130">
        <f>SUM(C77:AZ77)</f>
        <v>224800</v>
      </c>
      <c r="C77" s="131">
        <f t="shared" ref="C77:P77" si="76">VLOOKUP(C$2,shoukyaku_table,5,FALSE)/10000</f>
        <v>23000</v>
      </c>
      <c r="D77" s="131">
        <f t="shared" si="76"/>
        <v>23000</v>
      </c>
      <c r="E77" s="131">
        <f t="shared" si="76"/>
        <v>23000</v>
      </c>
      <c r="F77" s="131">
        <f t="shared" si="76"/>
        <v>23000</v>
      </c>
      <c r="G77" s="131">
        <f t="shared" si="76"/>
        <v>23000</v>
      </c>
      <c r="H77" s="131">
        <f t="shared" si="76"/>
        <v>23000</v>
      </c>
      <c r="I77" s="131">
        <f t="shared" si="76"/>
        <v>23000</v>
      </c>
      <c r="J77" s="131">
        <f t="shared" si="76"/>
        <v>23000</v>
      </c>
      <c r="K77" s="131">
        <f t="shared" si="76"/>
        <v>6800</v>
      </c>
      <c r="L77" s="131">
        <f t="shared" si="76"/>
        <v>6800</v>
      </c>
      <c r="M77" s="131">
        <f t="shared" si="76"/>
        <v>6800</v>
      </c>
      <c r="N77" s="131">
        <f t="shared" si="76"/>
        <v>6800</v>
      </c>
      <c r="O77" s="131">
        <f t="shared" si="76"/>
        <v>6800</v>
      </c>
      <c r="P77" s="131">
        <f t="shared" si="76"/>
        <v>6800</v>
      </c>
    </row>
    <row r="78" spans="1:16" ht="15" customHeight="1" x14ac:dyDescent="0.4">
      <c r="A78" s="133" t="s">
        <v>189</v>
      </c>
      <c r="B78" s="130">
        <f>B74-B77</f>
        <v>49500</v>
      </c>
      <c r="C78" s="131">
        <f t="shared" ref="C78:D78" si="77">C74-C77</f>
        <v>7500</v>
      </c>
      <c r="D78" s="131">
        <f t="shared" si="77"/>
        <v>6900</v>
      </c>
      <c r="E78" s="131">
        <f t="shared" ref="E78:G78" si="78">E74-E77</f>
        <v>6900</v>
      </c>
      <c r="F78" s="131">
        <f t="shared" si="78"/>
        <v>6900</v>
      </c>
      <c r="G78" s="131">
        <f t="shared" si="78"/>
        <v>6900</v>
      </c>
      <c r="H78" s="131">
        <f t="shared" ref="H78:I78" si="79">H74-H77</f>
        <v>6900</v>
      </c>
      <c r="I78" s="131">
        <f t="shared" si="79"/>
        <v>6900</v>
      </c>
      <c r="J78" s="131">
        <f t="shared" ref="J78:K78" si="80">J74-J77</f>
        <v>6900</v>
      </c>
      <c r="K78" s="131">
        <f t="shared" si="80"/>
        <v>-1200</v>
      </c>
      <c r="L78" s="131">
        <f t="shared" ref="L78:M78" si="81">L74-L77</f>
        <v>-1200</v>
      </c>
      <c r="M78" s="131">
        <f t="shared" si="81"/>
        <v>-1200</v>
      </c>
      <c r="N78" s="131">
        <f t="shared" ref="N78:O78" si="82">N74-N77</f>
        <v>-1200</v>
      </c>
      <c r="O78" s="131">
        <f t="shared" si="82"/>
        <v>-1200</v>
      </c>
      <c r="P78" s="131">
        <f t="shared" ref="P78" si="83">P74-P77</f>
        <v>-300</v>
      </c>
    </row>
    <row r="79" spans="1:16" ht="15" customHeight="1" x14ac:dyDescent="0.4">
      <c r="A79" s="133" t="s">
        <v>190</v>
      </c>
      <c r="B79" s="130">
        <f>IF(B78&gt;0,B78*0.35*-1,0)</f>
        <v>-17325</v>
      </c>
      <c r="C79" s="131">
        <f t="shared" ref="C79:D79" si="84">IF(C78&gt;0,C78*0.35*-1,0)</f>
        <v>-2625</v>
      </c>
      <c r="D79" s="131">
        <f t="shared" si="84"/>
        <v>-2415</v>
      </c>
      <c r="E79" s="131">
        <f t="shared" ref="E79:G79" si="85">IF(E78&gt;0,E78*0.35*-1,0)</f>
        <v>-2415</v>
      </c>
      <c r="F79" s="131">
        <f t="shared" si="85"/>
        <v>-2415</v>
      </c>
      <c r="G79" s="131">
        <f t="shared" si="85"/>
        <v>-2415</v>
      </c>
      <c r="H79" s="131">
        <f t="shared" ref="H79:I79" si="86">IF(H78&gt;0,H78*0.35*-1,0)</f>
        <v>-2415</v>
      </c>
      <c r="I79" s="131">
        <f t="shared" si="86"/>
        <v>-2415</v>
      </c>
      <c r="J79" s="131">
        <f t="shared" ref="J79:K79" si="87">IF(J78&gt;0,J78*0.35*-1,0)</f>
        <v>-2415</v>
      </c>
      <c r="K79" s="131">
        <f t="shared" si="87"/>
        <v>0</v>
      </c>
      <c r="L79" s="131">
        <f t="shared" ref="L79:M79" si="88">IF(L78&gt;0,L78*0.35*-1,0)</f>
        <v>0</v>
      </c>
      <c r="M79" s="131">
        <f t="shared" si="88"/>
        <v>0</v>
      </c>
      <c r="N79" s="131">
        <f t="shared" ref="N79:O79" si="89">IF(N78&gt;0,N78*0.35*-1,0)</f>
        <v>0</v>
      </c>
      <c r="O79" s="131">
        <f t="shared" si="89"/>
        <v>0</v>
      </c>
      <c r="P79" s="131">
        <f t="shared" ref="P79" si="90">IF(P78&gt;0,P78*0.35*-1,0)</f>
        <v>0</v>
      </c>
    </row>
    <row r="80" spans="1:16" ht="47.25" x14ac:dyDescent="0.4">
      <c r="A80" s="114" t="s">
        <v>191</v>
      </c>
      <c r="B80" s="130">
        <f>(B74*10000-B54)/10000+B79</f>
        <v>32062.898399999998</v>
      </c>
      <c r="C80" s="131">
        <f t="shared" ref="C80:D80" si="91">(C74*10000-C54)/10000+C79</f>
        <v>5740.5694000000003</v>
      </c>
      <c r="D80" s="131">
        <f t="shared" si="91"/>
        <v>5350.5694000000003</v>
      </c>
      <c r="E80" s="131">
        <f t="shared" ref="E80:G80" si="92">(E74*10000-E54)/10000+E79</f>
        <v>5350.5694000000003</v>
      </c>
      <c r="F80" s="131">
        <f t="shared" si="92"/>
        <v>5350.5694000000003</v>
      </c>
      <c r="G80" s="131">
        <f t="shared" si="92"/>
        <v>5350.5694000000003</v>
      </c>
      <c r="H80" s="131">
        <f t="shared" ref="H80:I80" si="93">(H74*10000-H54)/10000+H79</f>
        <v>5350.5694000000003</v>
      </c>
      <c r="I80" s="131">
        <f t="shared" si="93"/>
        <v>5350.5694000000003</v>
      </c>
      <c r="J80" s="131">
        <f t="shared" ref="J80:K80" si="94">(J74*10000-J54)/10000+J79</f>
        <v>5350.5694000000003</v>
      </c>
      <c r="K80" s="131">
        <f t="shared" si="94"/>
        <v>-379.58210000000003</v>
      </c>
      <c r="L80" s="131">
        <f t="shared" ref="L80:M80" si="95">(L74*10000-L54)/10000+L79</f>
        <v>-379.58210000000003</v>
      </c>
      <c r="M80" s="131">
        <f t="shared" si="95"/>
        <v>-379.58210000000003</v>
      </c>
      <c r="N80" s="131">
        <f t="shared" ref="N80:O80" si="96">(N74*10000-N54)/10000+N79</f>
        <v>-379.58210000000003</v>
      </c>
      <c r="O80" s="131">
        <f t="shared" si="96"/>
        <v>-379.58210000000003</v>
      </c>
      <c r="P80" s="131">
        <f t="shared" ref="P80" si="97">(P74*10000-P54)/10000+P79</f>
        <v>520.41790000000003</v>
      </c>
    </row>
    <row r="81" spans="1:16" s="140" customFormat="1" ht="19.5" customHeight="1" x14ac:dyDescent="0.4">
      <c r="A81" s="136" t="s">
        <v>192</v>
      </c>
      <c r="B81" s="137" t="s">
        <v>193</v>
      </c>
      <c r="C81" s="138" t="str">
        <f t="shared" ref="C81:P81" si="98">C1</f>
        <v>コアプラス池袋</v>
      </c>
      <c r="D81" s="138" t="str">
        <f t="shared" si="98"/>
        <v>大東京建託アパート池袋</v>
      </c>
      <c r="E81" s="138" t="str">
        <f t="shared" si="98"/>
        <v>大東京建託アパート目白</v>
      </c>
      <c r="F81" s="138" t="str">
        <f t="shared" si="98"/>
        <v>かぼちゃレジデンス池袋</v>
      </c>
      <c r="G81" s="138" t="str">
        <f t="shared" si="98"/>
        <v>かぼちゃレジデンス五反田</v>
      </c>
      <c r="H81" s="138" t="str">
        <f t="shared" si="98"/>
        <v>オープンマンション高田馬場</v>
      </c>
      <c r="I81" s="138" t="str">
        <f t="shared" si="98"/>
        <v>無限レジデンス大塚</v>
      </c>
      <c r="J81" s="138" t="str">
        <f t="shared" si="98"/>
        <v>ＡＤレジデンス池袋</v>
      </c>
      <c r="K81" s="139" t="str">
        <f t="shared" si="98"/>
        <v>かぼちゃタワー101</v>
      </c>
      <c r="L81" s="139" t="str">
        <f t="shared" si="98"/>
        <v>かぼちゃタワー102</v>
      </c>
      <c r="M81" s="139" t="str">
        <f t="shared" si="98"/>
        <v>ブリリア目白201</v>
      </c>
      <c r="N81" s="139" t="str">
        <f t="shared" si="98"/>
        <v>プラウド目白202</v>
      </c>
      <c r="O81" s="139" t="str">
        <f t="shared" si="98"/>
        <v>パークホームズ目白203</v>
      </c>
      <c r="P81" s="139" t="str">
        <f t="shared" si="98"/>
        <v>六本木ヒルズB棟3099</v>
      </c>
    </row>
    <row r="83" spans="1:16" x14ac:dyDescent="0.4">
      <c r="B83" s="142"/>
    </row>
  </sheetData>
  <phoneticPr fontId="3"/>
  <pageMargins left="0.23622047244094491" right="0.23622047244094491" top="0.19685039370078741" bottom="0.19685039370078741" header="0.31496062992125984" footer="0.31496062992125984"/>
  <pageSetup paperSize="8" scale="61" fitToWidth="0" orientation="landscape" r:id="rId1"/>
  <headerFooter>
    <oddFooter>&amp;P / &amp;N ページ</oddFoot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A83DE-FE7A-48A2-A823-D5378A08FE6E}">
  <sheetPr>
    <pageSetUpPr fitToPage="1"/>
  </sheetPr>
  <dimension ref="A1:F68"/>
  <sheetViews>
    <sheetView view="pageBreakPreview" zoomScaleNormal="100" zoomScaleSheetLayoutView="100" workbookViewId="0"/>
  </sheetViews>
  <sheetFormatPr defaultRowHeight="15.75" x14ac:dyDescent="0.4"/>
  <cols>
    <col min="1" max="1" width="29.375" style="72" customWidth="1"/>
    <col min="2" max="6" width="23" style="72" customWidth="1"/>
    <col min="7" max="7" width="13.25" style="72" customWidth="1"/>
    <col min="8" max="16384" width="9" style="72"/>
  </cols>
  <sheetData>
    <row r="1" spans="1:6" ht="27.75" customHeight="1" x14ac:dyDescent="0.4">
      <c r="A1" s="299">
        <v>43343</v>
      </c>
      <c r="B1" s="300" t="s">
        <v>353</v>
      </c>
    </row>
    <row r="3" spans="1:6" x14ac:dyDescent="0.4">
      <c r="A3" s="301" t="s">
        <v>354</v>
      </c>
    </row>
    <row r="4" spans="1:6" x14ac:dyDescent="0.4">
      <c r="A4" s="440" t="s">
        <v>357</v>
      </c>
      <c r="B4" s="440" t="s">
        <v>358</v>
      </c>
      <c r="C4" s="443"/>
      <c r="D4" s="443"/>
      <c r="E4" s="443"/>
      <c r="F4" s="443"/>
    </row>
    <row r="5" spans="1:6" x14ac:dyDescent="0.4">
      <c r="A5" s="440" t="s">
        <v>198</v>
      </c>
      <c r="B5" s="443" t="s">
        <v>360</v>
      </c>
      <c r="C5" s="72" t="s">
        <v>212</v>
      </c>
      <c r="D5" s="72" t="s">
        <v>210</v>
      </c>
      <c r="E5" s="72" t="s">
        <v>214</v>
      </c>
      <c r="F5" s="443" t="s">
        <v>206</v>
      </c>
    </row>
    <row r="6" spans="1:6" x14ac:dyDescent="0.4">
      <c r="A6" s="442" t="s">
        <v>26</v>
      </c>
      <c r="B6" s="444">
        <v>664032918</v>
      </c>
      <c r="C6" s="444"/>
      <c r="D6" s="444"/>
      <c r="E6" s="444"/>
      <c r="F6" s="444">
        <v>664032918</v>
      </c>
    </row>
    <row r="7" spans="1:6" x14ac:dyDescent="0.4">
      <c r="A7" s="300" t="s">
        <v>32</v>
      </c>
      <c r="B7" s="444">
        <v>442688612</v>
      </c>
      <c r="C7" s="444"/>
      <c r="D7" s="444"/>
      <c r="E7" s="444"/>
      <c r="F7" s="444">
        <v>442688612</v>
      </c>
    </row>
    <row r="8" spans="1:6" x14ac:dyDescent="0.4">
      <c r="A8" s="300" t="s">
        <v>30</v>
      </c>
      <c r="B8" s="444">
        <v>340935948</v>
      </c>
      <c r="C8" s="444"/>
      <c r="D8" s="444"/>
      <c r="E8" s="444"/>
      <c r="F8" s="444">
        <v>340935948</v>
      </c>
    </row>
    <row r="9" spans="1:6" x14ac:dyDescent="0.4">
      <c r="A9" s="300" t="s">
        <v>34</v>
      </c>
      <c r="B9" s="444">
        <v>281140127</v>
      </c>
      <c r="C9" s="444"/>
      <c r="D9" s="444"/>
      <c r="E9" s="444"/>
      <c r="F9" s="444">
        <v>281140127</v>
      </c>
    </row>
    <row r="10" spans="1:6" x14ac:dyDescent="0.4">
      <c r="A10" s="300" t="s">
        <v>28</v>
      </c>
      <c r="B10" s="444">
        <v>221344306</v>
      </c>
      <c r="C10" s="444"/>
      <c r="D10" s="444"/>
      <c r="E10" s="444"/>
      <c r="F10" s="444">
        <v>221344306</v>
      </c>
    </row>
    <row r="11" spans="1:6" x14ac:dyDescent="0.4">
      <c r="A11" s="300" t="s">
        <v>36</v>
      </c>
      <c r="B11" s="444">
        <v>59795821</v>
      </c>
      <c r="C11" s="444"/>
      <c r="D11" s="444"/>
      <c r="E11" s="444"/>
      <c r="F11" s="444">
        <v>59795821</v>
      </c>
    </row>
    <row r="12" spans="1:6" x14ac:dyDescent="0.4">
      <c r="A12" s="300" t="s">
        <v>337</v>
      </c>
      <c r="B12" s="444"/>
      <c r="C12" s="444">
        <v>59795821</v>
      </c>
      <c r="D12" s="444"/>
      <c r="E12" s="444"/>
      <c r="F12" s="444">
        <v>59795821</v>
      </c>
    </row>
    <row r="13" spans="1:6" x14ac:dyDescent="0.4">
      <c r="A13" s="300" t="s">
        <v>224</v>
      </c>
      <c r="B13" s="444">
        <v>59795821</v>
      </c>
      <c r="C13" s="444"/>
      <c r="D13" s="444"/>
      <c r="E13" s="444"/>
      <c r="F13" s="444">
        <v>59795821</v>
      </c>
    </row>
    <row r="14" spans="1:6" x14ac:dyDescent="0.4">
      <c r="A14" s="300" t="s">
        <v>327</v>
      </c>
      <c r="B14" s="444"/>
      <c r="C14" s="444"/>
      <c r="D14" s="444">
        <v>59795821</v>
      </c>
      <c r="E14" s="444"/>
      <c r="F14" s="444">
        <v>59795821</v>
      </c>
    </row>
    <row r="15" spans="1:6" x14ac:dyDescent="0.4">
      <c r="A15" s="300" t="s">
        <v>340</v>
      </c>
      <c r="B15" s="444"/>
      <c r="C15" s="444"/>
      <c r="D15" s="444"/>
      <c r="E15" s="444">
        <v>59795821</v>
      </c>
      <c r="F15" s="444">
        <v>59795821</v>
      </c>
    </row>
    <row r="16" spans="1:6" x14ac:dyDescent="0.4">
      <c r="A16" s="442" t="s">
        <v>206</v>
      </c>
      <c r="B16" s="444">
        <v>2069733553</v>
      </c>
      <c r="C16" s="444">
        <v>59795821</v>
      </c>
      <c r="D16" s="444">
        <v>59795821</v>
      </c>
      <c r="E16" s="444">
        <v>59795821</v>
      </c>
      <c r="F16" s="444">
        <v>2249121016</v>
      </c>
    </row>
    <row r="18" spans="1:6" x14ac:dyDescent="0.4">
      <c r="A18" s="301" t="s">
        <v>359</v>
      </c>
    </row>
    <row r="19" spans="1:6" x14ac:dyDescent="0.4">
      <c r="A19" s="440" t="s">
        <v>357</v>
      </c>
      <c r="B19" s="440" t="s">
        <v>358</v>
      </c>
      <c r="C19" s="443"/>
      <c r="D19" s="443"/>
      <c r="E19" s="443"/>
      <c r="F19" s="443"/>
    </row>
    <row r="20" spans="1:6" x14ac:dyDescent="0.4">
      <c r="A20" s="440" t="s">
        <v>200</v>
      </c>
      <c r="B20" s="443" t="s">
        <v>360</v>
      </c>
      <c r="C20" s="72" t="s">
        <v>212</v>
      </c>
      <c r="D20" s="72" t="s">
        <v>210</v>
      </c>
      <c r="E20" s="72" t="s">
        <v>214</v>
      </c>
      <c r="F20" s="443" t="s">
        <v>356</v>
      </c>
    </row>
    <row r="21" spans="1:6" x14ac:dyDescent="0.4">
      <c r="A21" s="442" t="s">
        <v>47</v>
      </c>
      <c r="B21" s="444">
        <v>502484433</v>
      </c>
      <c r="C21" s="444"/>
      <c r="D21" s="444"/>
      <c r="E21" s="444"/>
      <c r="F21" s="444">
        <v>502484433</v>
      </c>
    </row>
    <row r="22" spans="1:6" x14ac:dyDescent="0.4">
      <c r="A22" s="300" t="s">
        <v>45</v>
      </c>
      <c r="B22" s="444">
        <v>502484433</v>
      </c>
      <c r="C22" s="444"/>
      <c r="D22" s="444"/>
      <c r="E22" s="444"/>
      <c r="F22" s="444">
        <v>502484433</v>
      </c>
    </row>
    <row r="23" spans="1:6" x14ac:dyDescent="0.4">
      <c r="A23" s="300" t="s">
        <v>24</v>
      </c>
      <c r="B23" s="444">
        <v>281140127</v>
      </c>
      <c r="C23" s="444"/>
      <c r="D23" s="444"/>
      <c r="E23" s="444">
        <v>59795821</v>
      </c>
      <c r="F23" s="444">
        <v>340935948</v>
      </c>
    </row>
    <row r="24" spans="1:6" x14ac:dyDescent="0.4">
      <c r="A24" s="300" t="s">
        <v>53</v>
      </c>
      <c r="B24" s="444">
        <v>221344306</v>
      </c>
      <c r="C24" s="444"/>
      <c r="D24" s="444">
        <v>59795821</v>
      </c>
      <c r="E24" s="444"/>
      <c r="F24" s="444">
        <v>281140127</v>
      </c>
    </row>
    <row r="25" spans="1:6" x14ac:dyDescent="0.4">
      <c r="A25" s="300" t="s">
        <v>49</v>
      </c>
      <c r="B25" s="444">
        <v>221344306</v>
      </c>
      <c r="C25" s="444"/>
      <c r="D25" s="444"/>
      <c r="E25" s="444"/>
      <c r="F25" s="444">
        <v>221344306</v>
      </c>
    </row>
    <row r="26" spans="1:6" x14ac:dyDescent="0.4">
      <c r="A26" s="300" t="s">
        <v>51</v>
      </c>
      <c r="B26" s="444">
        <v>221344306</v>
      </c>
      <c r="C26" s="444"/>
      <c r="D26" s="444"/>
      <c r="E26" s="444"/>
      <c r="F26" s="444">
        <v>221344306</v>
      </c>
    </row>
    <row r="27" spans="1:6" x14ac:dyDescent="0.4">
      <c r="A27" s="300" t="s">
        <v>38</v>
      </c>
      <c r="B27" s="444">
        <v>119591642</v>
      </c>
      <c r="C27" s="444">
        <v>59795821</v>
      </c>
      <c r="D27" s="444"/>
      <c r="E27" s="444"/>
      <c r="F27" s="444">
        <v>179387463</v>
      </c>
    </row>
    <row r="28" spans="1:6" x14ac:dyDescent="0.4">
      <c r="A28" s="442" t="s">
        <v>356</v>
      </c>
      <c r="B28" s="444">
        <v>2069733553</v>
      </c>
      <c r="C28" s="444">
        <v>59795821</v>
      </c>
      <c r="D28" s="444">
        <v>59795821</v>
      </c>
      <c r="E28" s="444">
        <v>59795821</v>
      </c>
      <c r="F28" s="444">
        <v>2249121016</v>
      </c>
    </row>
    <row r="30" spans="1:6" x14ac:dyDescent="0.4">
      <c r="A30" s="301" t="s">
        <v>362</v>
      </c>
    </row>
    <row r="31" spans="1:6" x14ac:dyDescent="0.4">
      <c r="A31" s="440" t="s">
        <v>366</v>
      </c>
      <c r="B31" s="443" t="s">
        <v>363</v>
      </c>
      <c r="C31" s="72" t="s">
        <v>364</v>
      </c>
      <c r="D31" s="72" t="s">
        <v>365</v>
      </c>
      <c r="E31" s="72" t="s">
        <v>369</v>
      </c>
      <c r="F31" s="72" t="s">
        <v>370</v>
      </c>
    </row>
    <row r="32" spans="1:6" x14ac:dyDescent="0.4">
      <c r="A32" s="442" t="s">
        <v>24</v>
      </c>
      <c r="B32" s="444"/>
      <c r="C32" s="444"/>
      <c r="D32" s="444"/>
      <c r="E32" s="441"/>
      <c r="F32" s="444"/>
    </row>
    <row r="33" spans="1:6" x14ac:dyDescent="0.4">
      <c r="A33" s="445" t="s">
        <v>14</v>
      </c>
      <c r="B33" s="444">
        <v>531822</v>
      </c>
      <c r="C33" s="444">
        <v>309694</v>
      </c>
      <c r="D33" s="444">
        <v>841516</v>
      </c>
      <c r="E33" s="441">
        <v>1.6789806194517604E-2</v>
      </c>
      <c r="F33" s="444">
        <v>221344306</v>
      </c>
    </row>
    <row r="34" spans="1:6" x14ac:dyDescent="0.4">
      <c r="A34" s="302" t="s">
        <v>226</v>
      </c>
      <c r="B34" s="444">
        <v>164210</v>
      </c>
      <c r="C34" s="444">
        <v>37475</v>
      </c>
      <c r="D34" s="444">
        <v>201685</v>
      </c>
      <c r="E34" s="441">
        <v>7.5205924507667516E-3</v>
      </c>
      <c r="F34" s="444">
        <v>59795821</v>
      </c>
    </row>
    <row r="35" spans="1:6" x14ac:dyDescent="0.4">
      <c r="A35" s="302" t="s">
        <v>214</v>
      </c>
      <c r="B35" s="444">
        <v>164210</v>
      </c>
      <c r="C35" s="444">
        <v>37475</v>
      </c>
      <c r="D35" s="444">
        <v>201685</v>
      </c>
      <c r="E35" s="441">
        <v>7.5205924507667516E-3</v>
      </c>
      <c r="F35" s="444">
        <v>59795821</v>
      </c>
    </row>
    <row r="36" spans="1:6" x14ac:dyDescent="0.4">
      <c r="A36" s="300" t="s">
        <v>49</v>
      </c>
      <c r="B36" s="444"/>
      <c r="C36" s="444"/>
      <c r="D36" s="444"/>
      <c r="E36" s="441"/>
      <c r="F36" s="444"/>
    </row>
    <row r="37" spans="1:6" x14ac:dyDescent="0.4">
      <c r="A37" s="445" t="s">
        <v>16</v>
      </c>
      <c r="B37" s="444">
        <v>531822</v>
      </c>
      <c r="C37" s="444">
        <v>309694</v>
      </c>
      <c r="D37" s="444">
        <v>841516</v>
      </c>
      <c r="E37" s="441">
        <v>1.6789806194517604E-2</v>
      </c>
      <c r="F37" s="444">
        <v>221344306</v>
      </c>
    </row>
    <row r="38" spans="1:6" x14ac:dyDescent="0.4">
      <c r="A38" s="300" t="s">
        <v>45</v>
      </c>
      <c r="B38" s="444"/>
      <c r="C38" s="444"/>
      <c r="D38" s="444"/>
      <c r="E38" s="441"/>
      <c r="F38" s="444"/>
    </row>
    <row r="39" spans="1:6" x14ac:dyDescent="0.4">
      <c r="A39" s="445" t="s">
        <v>18</v>
      </c>
      <c r="B39" s="444">
        <v>531822</v>
      </c>
      <c r="C39" s="444">
        <v>309694</v>
      </c>
      <c r="D39" s="444">
        <v>841516</v>
      </c>
      <c r="E39" s="441">
        <v>1.6789806194517604E-2</v>
      </c>
      <c r="F39" s="444">
        <v>221344306</v>
      </c>
    </row>
    <row r="40" spans="1:6" x14ac:dyDescent="0.4">
      <c r="A40" s="302" t="s">
        <v>228</v>
      </c>
      <c r="B40" s="444">
        <v>164210</v>
      </c>
      <c r="C40" s="444">
        <v>37475</v>
      </c>
      <c r="D40" s="444">
        <v>201685</v>
      </c>
      <c r="E40" s="441">
        <v>7.5205924507667516E-3</v>
      </c>
      <c r="F40" s="444">
        <v>59795821</v>
      </c>
    </row>
    <row r="41" spans="1:6" x14ac:dyDescent="0.4">
      <c r="A41" s="302" t="s">
        <v>536</v>
      </c>
      <c r="B41" s="444">
        <v>531822</v>
      </c>
      <c r="C41" s="444">
        <v>309694</v>
      </c>
      <c r="D41" s="444">
        <v>841516</v>
      </c>
      <c r="E41" s="441">
        <v>1.6789806194517604E-2</v>
      </c>
      <c r="F41" s="444">
        <v>221344306</v>
      </c>
    </row>
    <row r="42" spans="1:6" x14ac:dyDescent="0.4">
      <c r="A42" s="300" t="s">
        <v>53</v>
      </c>
      <c r="B42" s="444"/>
      <c r="C42" s="444"/>
      <c r="D42" s="444"/>
      <c r="E42" s="441"/>
      <c r="F42" s="444"/>
    </row>
    <row r="43" spans="1:6" x14ac:dyDescent="0.4">
      <c r="A43" s="445" t="s">
        <v>57</v>
      </c>
      <c r="B43" s="444">
        <v>696032</v>
      </c>
      <c r="C43" s="444">
        <v>347169</v>
      </c>
      <c r="D43" s="444">
        <v>1043201</v>
      </c>
      <c r="E43" s="441">
        <v>1.4818332923353912E-2</v>
      </c>
      <c r="F43" s="444">
        <v>281140127</v>
      </c>
    </row>
    <row r="44" spans="1:6" x14ac:dyDescent="0.4">
      <c r="A44" s="300" t="s">
        <v>47</v>
      </c>
      <c r="B44" s="444"/>
      <c r="C44" s="444"/>
      <c r="D44" s="444"/>
      <c r="E44" s="441"/>
      <c r="F44" s="444"/>
    </row>
    <row r="45" spans="1:6" x14ac:dyDescent="0.4">
      <c r="A45" s="445" t="s">
        <v>59</v>
      </c>
      <c r="B45" s="444">
        <v>531822</v>
      </c>
      <c r="C45" s="444">
        <v>309694</v>
      </c>
      <c r="D45" s="444">
        <v>841516</v>
      </c>
      <c r="E45" s="441">
        <v>1.6789806194517604E-2</v>
      </c>
      <c r="F45" s="444">
        <v>221344306</v>
      </c>
    </row>
    <row r="46" spans="1:6" x14ac:dyDescent="0.4">
      <c r="A46" s="302" t="s">
        <v>230</v>
      </c>
      <c r="B46" s="444">
        <v>164210</v>
      </c>
      <c r="C46" s="444">
        <v>37475</v>
      </c>
      <c r="D46" s="444">
        <v>201685</v>
      </c>
      <c r="E46" s="441">
        <v>7.5205924507667516E-3</v>
      </c>
      <c r="F46" s="444">
        <v>59795821</v>
      </c>
    </row>
    <row r="47" spans="1:6" x14ac:dyDescent="0.4">
      <c r="A47" s="302" t="s">
        <v>538</v>
      </c>
      <c r="B47" s="444">
        <v>531822</v>
      </c>
      <c r="C47" s="444">
        <v>309694</v>
      </c>
      <c r="D47" s="444">
        <v>841516</v>
      </c>
      <c r="E47" s="441">
        <v>1.6789806194517604E-2</v>
      </c>
      <c r="F47" s="444">
        <v>221344306</v>
      </c>
    </row>
    <row r="48" spans="1:6" x14ac:dyDescent="0.4">
      <c r="A48" s="300" t="s">
        <v>51</v>
      </c>
      <c r="B48" s="444"/>
      <c r="C48" s="444"/>
      <c r="D48" s="444"/>
      <c r="E48" s="441"/>
      <c r="F48" s="444"/>
    </row>
    <row r="49" spans="1:6" x14ac:dyDescent="0.4">
      <c r="A49" s="445" t="s">
        <v>55</v>
      </c>
      <c r="B49" s="444">
        <v>531822</v>
      </c>
      <c r="C49" s="444">
        <v>309694</v>
      </c>
      <c r="D49" s="444">
        <v>841516</v>
      </c>
      <c r="E49" s="441">
        <v>1.6789806194517604E-2</v>
      </c>
      <c r="F49" s="444">
        <v>221344306</v>
      </c>
    </row>
    <row r="50" spans="1:6" x14ac:dyDescent="0.4">
      <c r="A50" s="300" t="s">
        <v>38</v>
      </c>
      <c r="B50" s="444"/>
      <c r="C50" s="444"/>
      <c r="D50" s="444"/>
      <c r="E50" s="441"/>
      <c r="F50" s="444"/>
    </row>
    <row r="51" spans="1:6" x14ac:dyDescent="0.4">
      <c r="A51" s="445" t="s">
        <v>20</v>
      </c>
      <c r="B51" s="444">
        <v>164210</v>
      </c>
      <c r="C51" s="444">
        <v>37475</v>
      </c>
      <c r="D51" s="444">
        <v>201685</v>
      </c>
      <c r="E51" s="441">
        <v>7.5205924507667516E-3</v>
      </c>
      <c r="F51" s="444">
        <v>59795821</v>
      </c>
    </row>
    <row r="52" spans="1:6" x14ac:dyDescent="0.4">
      <c r="A52" s="302" t="s">
        <v>22</v>
      </c>
      <c r="B52" s="444">
        <v>164210</v>
      </c>
      <c r="C52" s="444">
        <v>37475</v>
      </c>
      <c r="D52" s="444">
        <v>201685</v>
      </c>
      <c r="E52" s="441">
        <v>7.5205924507667516E-3</v>
      </c>
      <c r="F52" s="444">
        <v>59795821</v>
      </c>
    </row>
    <row r="53" spans="1:6" x14ac:dyDescent="0.4">
      <c r="A53" s="302" t="s">
        <v>342</v>
      </c>
      <c r="B53" s="444">
        <v>164210</v>
      </c>
      <c r="C53" s="444">
        <v>37475</v>
      </c>
      <c r="D53" s="444">
        <v>201685</v>
      </c>
      <c r="E53" s="441">
        <v>7.5205924507667516E-3</v>
      </c>
      <c r="F53" s="444">
        <v>59795821</v>
      </c>
    </row>
    <row r="54" spans="1:6" x14ac:dyDescent="0.4">
      <c r="A54" s="442" t="s">
        <v>356</v>
      </c>
      <c r="B54" s="444">
        <v>5568256</v>
      </c>
      <c r="C54" s="444">
        <v>2777352</v>
      </c>
      <c r="D54" s="444">
        <v>8345608</v>
      </c>
      <c r="E54" s="441">
        <v>1.4818332923353912E-2</v>
      </c>
      <c r="F54" s="444">
        <v>2249121016</v>
      </c>
    </row>
    <row r="55" spans="1:6" x14ac:dyDescent="0.4">
      <c r="A55" s="300"/>
      <c r="B55" s="164"/>
      <c r="C55" s="164"/>
      <c r="D55" s="164"/>
      <c r="E55" s="164"/>
      <c r="F55" s="165"/>
    </row>
    <row r="56" spans="1:6" x14ac:dyDescent="0.4">
      <c r="A56" s="303" t="s">
        <v>367</v>
      </c>
    </row>
    <row r="57" spans="1:6" x14ac:dyDescent="0.4">
      <c r="A57" s="440" t="s">
        <v>355</v>
      </c>
      <c r="B57" s="443" t="s">
        <v>368</v>
      </c>
    </row>
    <row r="58" spans="1:6" x14ac:dyDescent="0.4">
      <c r="A58" s="442" t="s">
        <v>340</v>
      </c>
      <c r="B58" s="441">
        <v>7.5205924507667516E-3</v>
      </c>
    </row>
    <row r="59" spans="1:6" x14ac:dyDescent="0.4">
      <c r="A59" s="300" t="s">
        <v>327</v>
      </c>
      <c r="B59" s="441">
        <v>7.5205924507667516E-3</v>
      </c>
    </row>
    <row r="60" spans="1:6" x14ac:dyDescent="0.4">
      <c r="A60" s="300" t="s">
        <v>224</v>
      </c>
      <c r="B60" s="441">
        <v>7.5205924507667516E-3</v>
      </c>
    </row>
    <row r="61" spans="1:6" x14ac:dyDescent="0.4">
      <c r="A61" s="300" t="s">
        <v>337</v>
      </c>
      <c r="B61" s="441">
        <v>7.5205924507667516E-3</v>
      </c>
    </row>
    <row r="62" spans="1:6" x14ac:dyDescent="0.4">
      <c r="A62" s="300" t="s">
        <v>36</v>
      </c>
      <c r="B62" s="441">
        <v>7.5205924507667516E-3</v>
      </c>
    </row>
    <row r="63" spans="1:6" x14ac:dyDescent="0.4">
      <c r="A63" s="300" t="s">
        <v>30</v>
      </c>
      <c r="B63" s="441">
        <v>1.3538402233841297E-2</v>
      </c>
    </row>
    <row r="64" spans="1:6" x14ac:dyDescent="0.4">
      <c r="A64" s="300" t="s">
        <v>34</v>
      </c>
      <c r="B64" s="441">
        <v>1.4818332923353912E-2</v>
      </c>
    </row>
    <row r="65" spans="1:2" x14ac:dyDescent="0.4">
      <c r="A65" s="300" t="s">
        <v>28</v>
      </c>
      <c r="B65" s="441">
        <v>1.6789806194517604E-2</v>
      </c>
    </row>
    <row r="66" spans="1:2" x14ac:dyDescent="0.4">
      <c r="A66" s="300" t="s">
        <v>26</v>
      </c>
      <c r="B66" s="441">
        <v>1.6789806194517604E-2</v>
      </c>
    </row>
    <row r="67" spans="1:2" x14ac:dyDescent="0.4">
      <c r="A67" s="300" t="s">
        <v>32</v>
      </c>
      <c r="B67" s="441">
        <v>1.6789806194517604E-2</v>
      </c>
    </row>
    <row r="68" spans="1:2" x14ac:dyDescent="0.4">
      <c r="A68" s="442" t="s">
        <v>356</v>
      </c>
      <c r="B68" s="441">
        <v>1.4818332923353912E-2</v>
      </c>
    </row>
  </sheetData>
  <phoneticPr fontId="3"/>
  <pageMargins left="0.70866141732283461" right="0.70866141732283461" top="0.74803149606299213" bottom="0.74803149606299213" header="0.31496062992125984" footer="0.31496062992125984"/>
  <pageSetup paperSize="8" scale="83" orientation="portrait" r:id="rId5"/>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5FBB-476C-4E05-8929-CBBC54E90A97}">
  <sheetPr>
    <pageSetUpPr fitToPage="1"/>
  </sheetPr>
  <dimension ref="A1:Y26"/>
  <sheetViews>
    <sheetView view="pageBreakPreview" zoomScaleNormal="100" zoomScaleSheetLayoutView="100" workbookViewId="0"/>
  </sheetViews>
  <sheetFormatPr defaultRowHeight="15.75" x14ac:dyDescent="0.4"/>
  <cols>
    <col min="1" max="1" width="5.625" style="72" customWidth="1"/>
    <col min="2" max="2" width="11.125" style="72" customWidth="1"/>
    <col min="3" max="3" width="25" style="140" customWidth="1"/>
    <col min="4" max="4" width="13" style="72" customWidth="1"/>
    <col min="5" max="5" width="7.25" style="72" customWidth="1"/>
    <col min="6" max="6" width="13" style="72" customWidth="1"/>
    <col min="7" max="7" width="7.25" style="195" customWidth="1"/>
    <col min="8" max="8" width="23.75" style="140" customWidth="1"/>
    <col min="9" max="9" width="10.375" style="72" customWidth="1"/>
    <col min="10" max="10" width="29.375" style="140" customWidth="1"/>
    <col min="11" max="11" width="18.125" style="72" customWidth="1"/>
    <col min="12" max="12" width="19.25" style="72" customWidth="1"/>
    <col min="13" max="13" width="9.625" style="72" bestFit="1" customWidth="1"/>
    <col min="14" max="14" width="8.625" style="72" customWidth="1"/>
    <col min="15" max="15" width="9.125" style="72" customWidth="1"/>
    <col min="16" max="16" width="18" style="72" customWidth="1"/>
    <col min="17" max="17" width="12.625" style="72" customWidth="1"/>
    <col min="18" max="20" width="17.625" style="72" customWidth="1"/>
    <col min="21" max="21" width="11.125" style="72" customWidth="1"/>
    <col min="22" max="24" width="9" style="72"/>
    <col min="25" max="25" width="9" style="323"/>
    <col min="26" max="16384" width="9" style="72"/>
  </cols>
  <sheetData>
    <row r="1" spans="1:25" s="311" customFormat="1" ht="25.5" customHeight="1" x14ac:dyDescent="0.4">
      <c r="A1" s="304" t="s">
        <v>196</v>
      </c>
      <c r="B1" s="304" t="s">
        <v>197</v>
      </c>
      <c r="C1" s="305" t="s">
        <v>198</v>
      </c>
      <c r="D1" s="304" t="s">
        <v>232</v>
      </c>
      <c r="E1" s="304" t="s">
        <v>339</v>
      </c>
      <c r="F1" s="304" t="s">
        <v>764</v>
      </c>
      <c r="G1" s="306" t="s">
        <v>128</v>
      </c>
      <c r="H1" s="305" t="s">
        <v>199</v>
      </c>
      <c r="I1" s="305" t="s">
        <v>345</v>
      </c>
      <c r="J1" s="305" t="s">
        <v>200</v>
      </c>
      <c r="K1" s="304" t="s">
        <v>201</v>
      </c>
      <c r="L1" s="307" t="s">
        <v>202</v>
      </c>
      <c r="M1" s="304" t="s">
        <v>163</v>
      </c>
      <c r="N1" s="304" t="s">
        <v>218</v>
      </c>
      <c r="O1" s="304" t="s">
        <v>203</v>
      </c>
      <c r="P1" s="308" t="s">
        <v>204</v>
      </c>
      <c r="Q1" s="309" t="s">
        <v>205</v>
      </c>
      <c r="R1" s="304" t="s">
        <v>765</v>
      </c>
      <c r="S1" s="304" t="s">
        <v>766</v>
      </c>
      <c r="T1" s="304" t="s">
        <v>206</v>
      </c>
      <c r="U1" s="304" t="s">
        <v>207</v>
      </c>
      <c r="V1" s="304" t="s">
        <v>208</v>
      </c>
      <c r="W1" s="304" t="s">
        <v>209</v>
      </c>
      <c r="X1" s="304" t="s">
        <v>217</v>
      </c>
      <c r="Y1" s="310" t="s">
        <v>517</v>
      </c>
    </row>
    <row r="2" spans="1:25" s="311" customFormat="1" ht="38.25" customHeight="1" x14ac:dyDescent="0.4">
      <c r="A2" s="311">
        <v>101</v>
      </c>
      <c r="B2" s="311">
        <v>601</v>
      </c>
      <c r="C2" s="312" t="str">
        <f t="shared" ref="C2:C17" si="0">VLOOKUP(B2,id_list,2,FALSE)</f>
        <v>スルガ銀行</v>
      </c>
      <c r="D2" s="311" t="s">
        <v>329</v>
      </c>
      <c r="E2" s="311">
        <v>701</v>
      </c>
      <c r="F2" s="311" t="str">
        <f t="shared" ref="F2:F17" si="1">VLOOKUP(E2,id_list,2,FALSE)</f>
        <v>賃貸用不動産</v>
      </c>
      <c r="G2" s="313">
        <v>201</v>
      </c>
      <c r="H2" s="312" t="str">
        <f t="shared" ref="H2:H17" si="2">VLOOKUP(G2,id_list,2,FALSE)</f>
        <v>コアプラス池袋</v>
      </c>
      <c r="I2" s="311">
        <v>401</v>
      </c>
      <c r="J2" s="312" t="str">
        <f t="shared" ref="J2:J17" si="3">VLOOKUP(I2,id_list,2,FALSE)</f>
        <v>コアプラス・アンド・アーキテクチャーズ株式会社</v>
      </c>
      <c r="K2" s="314">
        <v>238000000</v>
      </c>
      <c r="L2" s="315">
        <v>42304</v>
      </c>
      <c r="M2" s="316">
        <v>1.675</v>
      </c>
      <c r="N2" s="311" t="s">
        <v>346</v>
      </c>
      <c r="O2" s="317">
        <v>30</v>
      </c>
      <c r="P2" s="315">
        <v>43343</v>
      </c>
      <c r="Q2" s="318">
        <v>531822</v>
      </c>
      <c r="R2" s="319">
        <v>309694</v>
      </c>
      <c r="S2" s="319">
        <v>841516</v>
      </c>
      <c r="T2" s="314">
        <v>221344306</v>
      </c>
      <c r="U2" s="320">
        <f>T2/K2</f>
        <v>0.93001809243697475</v>
      </c>
      <c r="V2" s="321" t="s">
        <v>61</v>
      </c>
      <c r="W2" s="311" t="s">
        <v>352</v>
      </c>
      <c r="X2" s="311" t="s">
        <v>348</v>
      </c>
      <c r="Y2" s="322"/>
    </row>
    <row r="3" spans="1:25" s="311" customFormat="1" ht="38.25" customHeight="1" x14ac:dyDescent="0.4">
      <c r="A3" s="311">
        <v>102</v>
      </c>
      <c r="B3" s="311">
        <v>601</v>
      </c>
      <c r="C3" s="312" t="str">
        <f t="shared" si="0"/>
        <v>スルガ銀行</v>
      </c>
      <c r="D3" s="311" t="s">
        <v>329</v>
      </c>
      <c r="E3" s="311">
        <v>701</v>
      </c>
      <c r="F3" s="311" t="str">
        <f t="shared" si="1"/>
        <v>賃貸用不動産</v>
      </c>
      <c r="G3" s="313">
        <v>202</v>
      </c>
      <c r="H3" s="312" t="str">
        <f t="shared" si="2"/>
        <v>大東京建託アパート池袋</v>
      </c>
      <c r="I3" s="311">
        <v>402</v>
      </c>
      <c r="J3" s="312" t="str">
        <f t="shared" si="3"/>
        <v>さんためエステート株式会社</v>
      </c>
      <c r="K3" s="314">
        <v>238000000</v>
      </c>
      <c r="L3" s="315">
        <v>42304</v>
      </c>
      <c r="M3" s="316">
        <v>1.675</v>
      </c>
      <c r="N3" s="311" t="s">
        <v>346</v>
      </c>
      <c r="O3" s="317">
        <v>30</v>
      </c>
      <c r="P3" s="315">
        <v>43343</v>
      </c>
      <c r="Q3" s="318">
        <v>531822</v>
      </c>
      <c r="R3" s="319">
        <v>309694</v>
      </c>
      <c r="S3" s="319">
        <v>841516</v>
      </c>
      <c r="T3" s="314">
        <v>221344306</v>
      </c>
      <c r="U3" s="320">
        <f t="shared" ref="U3:U17" si="4">T3/K3</f>
        <v>0.93001809243697475</v>
      </c>
      <c r="V3" s="321" t="s">
        <v>61</v>
      </c>
      <c r="W3" s="311" t="s">
        <v>352</v>
      </c>
      <c r="X3" s="311" t="s">
        <v>349</v>
      </c>
      <c r="Y3" s="322"/>
    </row>
    <row r="4" spans="1:25" s="311" customFormat="1" ht="38.25" customHeight="1" x14ac:dyDescent="0.4">
      <c r="A4" s="311">
        <v>103</v>
      </c>
      <c r="B4" s="311">
        <v>601</v>
      </c>
      <c r="C4" s="312" t="str">
        <f t="shared" si="0"/>
        <v>スルガ銀行</v>
      </c>
      <c r="D4" s="311" t="s">
        <v>329</v>
      </c>
      <c r="E4" s="311">
        <v>701</v>
      </c>
      <c r="F4" s="311" t="str">
        <f t="shared" si="1"/>
        <v>賃貸用不動産</v>
      </c>
      <c r="G4" s="313">
        <v>203</v>
      </c>
      <c r="H4" s="312" t="str">
        <f t="shared" si="2"/>
        <v>大東京建託アパート目白</v>
      </c>
      <c r="I4" s="311">
        <v>403</v>
      </c>
      <c r="J4" s="312" t="str">
        <f t="shared" si="3"/>
        <v>よんためプロパティ株式会社</v>
      </c>
      <c r="K4" s="314">
        <v>238000000</v>
      </c>
      <c r="L4" s="315">
        <v>42304</v>
      </c>
      <c r="M4" s="316">
        <v>1.675</v>
      </c>
      <c r="N4" s="311" t="s">
        <v>346</v>
      </c>
      <c r="O4" s="317">
        <v>30</v>
      </c>
      <c r="P4" s="315">
        <v>43343</v>
      </c>
      <c r="Q4" s="318">
        <v>531822</v>
      </c>
      <c r="R4" s="319">
        <v>309694</v>
      </c>
      <c r="S4" s="319">
        <v>841516</v>
      </c>
      <c r="T4" s="314">
        <v>221344306</v>
      </c>
      <c r="U4" s="320">
        <f t="shared" si="4"/>
        <v>0.93001809243697475</v>
      </c>
      <c r="V4" s="321" t="s">
        <v>61</v>
      </c>
      <c r="W4" s="311" t="s">
        <v>352</v>
      </c>
      <c r="X4" s="311" t="s">
        <v>349</v>
      </c>
      <c r="Y4" s="322"/>
    </row>
    <row r="5" spans="1:25" s="311" customFormat="1" ht="38.25" customHeight="1" x14ac:dyDescent="0.4">
      <c r="A5" s="311">
        <v>104</v>
      </c>
      <c r="B5" s="311">
        <v>602</v>
      </c>
      <c r="C5" s="312" t="str">
        <f t="shared" si="0"/>
        <v>オリックス銀行</v>
      </c>
      <c r="D5" s="311" t="s">
        <v>330</v>
      </c>
      <c r="E5" s="311">
        <v>701</v>
      </c>
      <c r="F5" s="311" t="str">
        <f t="shared" si="1"/>
        <v>賃貸用不動産</v>
      </c>
      <c r="G5" s="313">
        <v>204</v>
      </c>
      <c r="H5" s="312" t="str">
        <f t="shared" si="2"/>
        <v>かぼちゃレジデンス池袋</v>
      </c>
      <c r="I5" s="311">
        <v>404</v>
      </c>
      <c r="J5" s="312" t="str">
        <f t="shared" si="3"/>
        <v>ごためランド株式会社</v>
      </c>
      <c r="K5" s="314">
        <v>238000000</v>
      </c>
      <c r="L5" s="315">
        <v>42304</v>
      </c>
      <c r="M5" s="316">
        <v>1.675</v>
      </c>
      <c r="N5" s="311" t="s">
        <v>346</v>
      </c>
      <c r="O5" s="317">
        <v>30</v>
      </c>
      <c r="P5" s="315">
        <v>43343</v>
      </c>
      <c r="Q5" s="318">
        <v>531822</v>
      </c>
      <c r="R5" s="319">
        <v>309694</v>
      </c>
      <c r="S5" s="319">
        <v>841516</v>
      </c>
      <c r="T5" s="314">
        <v>221344306</v>
      </c>
      <c r="U5" s="320">
        <f t="shared" si="4"/>
        <v>0.93001809243697475</v>
      </c>
      <c r="V5" s="321" t="s">
        <v>61</v>
      </c>
      <c r="W5" s="311" t="s">
        <v>352</v>
      </c>
      <c r="X5" s="311" t="s">
        <v>348</v>
      </c>
      <c r="Y5" s="322"/>
    </row>
    <row r="6" spans="1:25" s="311" customFormat="1" ht="38.25" customHeight="1" x14ac:dyDescent="0.4">
      <c r="A6" s="311">
        <v>105</v>
      </c>
      <c r="B6" s="311">
        <v>603</v>
      </c>
      <c r="C6" s="312" t="str">
        <f t="shared" si="0"/>
        <v>日本政策金融公庫</v>
      </c>
      <c r="D6" s="311" t="s">
        <v>331</v>
      </c>
      <c r="E6" s="311">
        <v>701</v>
      </c>
      <c r="F6" s="311" t="str">
        <f t="shared" si="1"/>
        <v>賃貸用不動産</v>
      </c>
      <c r="G6" s="313">
        <v>205</v>
      </c>
      <c r="H6" s="312" t="str">
        <f t="shared" si="2"/>
        <v>かぼちゃレジデンス五反田</v>
      </c>
      <c r="I6" s="311">
        <v>402</v>
      </c>
      <c r="J6" s="312" t="str">
        <f t="shared" si="3"/>
        <v>さんためエステート株式会社</v>
      </c>
      <c r="K6" s="314">
        <v>238000000</v>
      </c>
      <c r="L6" s="315">
        <v>42304</v>
      </c>
      <c r="M6" s="316">
        <v>1.675</v>
      </c>
      <c r="N6" s="311" t="s">
        <v>346</v>
      </c>
      <c r="O6" s="317">
        <v>30</v>
      </c>
      <c r="P6" s="315">
        <v>43343</v>
      </c>
      <c r="Q6" s="318">
        <v>531822</v>
      </c>
      <c r="R6" s="319">
        <v>309694</v>
      </c>
      <c r="S6" s="319">
        <v>841516</v>
      </c>
      <c r="T6" s="314">
        <v>221344306</v>
      </c>
      <c r="U6" s="320">
        <f t="shared" si="4"/>
        <v>0.93001809243697475</v>
      </c>
      <c r="V6" s="321" t="s">
        <v>61</v>
      </c>
      <c r="W6" s="311" t="s">
        <v>352</v>
      </c>
      <c r="X6" s="311" t="s">
        <v>348</v>
      </c>
      <c r="Y6" s="322"/>
    </row>
    <row r="7" spans="1:25" s="311" customFormat="1" ht="38.25" customHeight="1" x14ac:dyDescent="0.4">
      <c r="A7" s="311">
        <v>106</v>
      </c>
      <c r="B7" s="311">
        <v>604</v>
      </c>
      <c r="C7" s="312" t="str">
        <f t="shared" si="0"/>
        <v>静岡銀行</v>
      </c>
      <c r="D7" s="311" t="s">
        <v>332</v>
      </c>
      <c r="E7" s="311">
        <v>701</v>
      </c>
      <c r="F7" s="311" t="str">
        <f t="shared" si="1"/>
        <v>賃貸用不動産</v>
      </c>
      <c r="G7" s="313">
        <v>206</v>
      </c>
      <c r="H7" s="312" t="str">
        <f t="shared" si="2"/>
        <v>オープンマンション高田馬場</v>
      </c>
      <c r="I7" s="311">
        <v>403</v>
      </c>
      <c r="J7" s="312" t="str">
        <f t="shared" si="3"/>
        <v>よんためプロパティ株式会社</v>
      </c>
      <c r="K7" s="314">
        <v>238000000</v>
      </c>
      <c r="L7" s="315">
        <v>42304</v>
      </c>
      <c r="M7" s="316">
        <v>1.675</v>
      </c>
      <c r="N7" s="311" t="s">
        <v>346</v>
      </c>
      <c r="O7" s="317">
        <v>30</v>
      </c>
      <c r="P7" s="315">
        <v>43332</v>
      </c>
      <c r="Q7" s="318">
        <v>531822</v>
      </c>
      <c r="R7" s="319">
        <v>309694</v>
      </c>
      <c r="S7" s="319">
        <v>841516</v>
      </c>
      <c r="T7" s="314">
        <v>221344306</v>
      </c>
      <c r="U7" s="320">
        <f t="shared" si="4"/>
        <v>0.93001809243697475</v>
      </c>
      <c r="V7" s="321" t="s">
        <v>61</v>
      </c>
      <c r="W7" s="311" t="s">
        <v>352</v>
      </c>
      <c r="X7" s="311" t="s">
        <v>349</v>
      </c>
      <c r="Y7" s="322"/>
    </row>
    <row r="8" spans="1:25" s="311" customFormat="1" ht="38.25" customHeight="1" x14ac:dyDescent="0.4">
      <c r="A8" s="311">
        <v>107</v>
      </c>
      <c r="B8" s="311">
        <v>604</v>
      </c>
      <c r="C8" s="312" t="str">
        <f t="shared" si="0"/>
        <v>静岡銀行</v>
      </c>
      <c r="D8" s="311" t="s">
        <v>332</v>
      </c>
      <c r="E8" s="311">
        <v>701</v>
      </c>
      <c r="F8" s="311" t="str">
        <f t="shared" si="1"/>
        <v>賃貸用不動産</v>
      </c>
      <c r="G8" s="313">
        <v>207</v>
      </c>
      <c r="H8" s="312" t="str">
        <f t="shared" si="2"/>
        <v>無限レジデンス大塚</v>
      </c>
      <c r="I8" s="311">
        <v>405</v>
      </c>
      <c r="J8" s="312" t="str">
        <f t="shared" si="3"/>
        <v>ろくためアセット株式会社</v>
      </c>
      <c r="K8" s="314">
        <v>238000000</v>
      </c>
      <c r="L8" s="315">
        <v>42304</v>
      </c>
      <c r="M8" s="316">
        <v>1.675</v>
      </c>
      <c r="N8" s="311" t="s">
        <v>346</v>
      </c>
      <c r="O8" s="317">
        <v>30</v>
      </c>
      <c r="P8" s="315">
        <v>43332</v>
      </c>
      <c r="Q8" s="318">
        <v>531822</v>
      </c>
      <c r="R8" s="319">
        <v>309694</v>
      </c>
      <c r="S8" s="319">
        <v>841516</v>
      </c>
      <c r="T8" s="314">
        <v>221344306</v>
      </c>
      <c r="U8" s="320">
        <f t="shared" si="4"/>
        <v>0.93001809243697475</v>
      </c>
      <c r="V8" s="321" t="s">
        <v>61</v>
      </c>
      <c r="W8" s="311" t="s">
        <v>352</v>
      </c>
      <c r="X8" s="311" t="s">
        <v>349</v>
      </c>
      <c r="Y8" s="322"/>
    </row>
    <row r="9" spans="1:25" s="311" customFormat="1" ht="38.25" customHeight="1" x14ac:dyDescent="0.4">
      <c r="A9" s="311">
        <v>108</v>
      </c>
      <c r="B9" s="311">
        <v>605</v>
      </c>
      <c r="C9" s="312" t="str">
        <f t="shared" si="0"/>
        <v>西武信用金庫</v>
      </c>
      <c r="D9" s="311" t="s">
        <v>333</v>
      </c>
      <c r="E9" s="311">
        <v>701</v>
      </c>
      <c r="F9" s="311" t="str">
        <f t="shared" si="1"/>
        <v>賃貸用不動産</v>
      </c>
      <c r="G9" s="313">
        <v>208</v>
      </c>
      <c r="H9" s="312" t="str">
        <f t="shared" si="2"/>
        <v>ＡＤレジデンス池袋</v>
      </c>
      <c r="I9" s="311">
        <v>406</v>
      </c>
      <c r="J9" s="312" t="str">
        <f t="shared" si="3"/>
        <v>ななためマネジメント株式会社</v>
      </c>
      <c r="K9" s="314">
        <v>238000000</v>
      </c>
      <c r="L9" s="315">
        <v>42304</v>
      </c>
      <c r="M9" s="316">
        <v>1.675</v>
      </c>
      <c r="N9" s="311" t="s">
        <v>347</v>
      </c>
      <c r="O9" s="317">
        <v>30</v>
      </c>
      <c r="P9" s="315">
        <v>43332</v>
      </c>
      <c r="Q9" s="318">
        <v>531822</v>
      </c>
      <c r="R9" s="319">
        <v>309694</v>
      </c>
      <c r="S9" s="319">
        <v>841516</v>
      </c>
      <c r="T9" s="314">
        <v>221344306</v>
      </c>
      <c r="U9" s="320">
        <f t="shared" si="4"/>
        <v>0.93001809243697475</v>
      </c>
      <c r="V9" s="321" t="s">
        <v>61</v>
      </c>
      <c r="W9" s="311" t="s">
        <v>352</v>
      </c>
      <c r="X9" s="311" t="s">
        <v>348</v>
      </c>
      <c r="Y9" s="322"/>
    </row>
    <row r="10" spans="1:25" s="311" customFormat="1" ht="38.25" customHeight="1" x14ac:dyDescent="0.4">
      <c r="A10" s="311">
        <v>109</v>
      </c>
      <c r="B10" s="311">
        <v>605</v>
      </c>
      <c r="C10" s="312" t="str">
        <f t="shared" si="0"/>
        <v>西武信用金庫</v>
      </c>
      <c r="D10" s="311" t="s">
        <v>333</v>
      </c>
      <c r="E10" s="311">
        <v>701</v>
      </c>
      <c r="F10" s="311" t="str">
        <f t="shared" si="1"/>
        <v>賃貸用不動産</v>
      </c>
      <c r="G10" s="313">
        <v>301</v>
      </c>
      <c r="H10" s="312" t="str">
        <f t="shared" si="2"/>
        <v>かぼちゃタワー101</v>
      </c>
      <c r="I10" s="311">
        <v>501</v>
      </c>
      <c r="J10" s="312" t="str">
        <f t="shared" si="3"/>
        <v>玉川陽介</v>
      </c>
      <c r="K10" s="314">
        <v>65000000</v>
      </c>
      <c r="L10" s="315">
        <v>42320</v>
      </c>
      <c r="M10" s="316">
        <v>0.75</v>
      </c>
      <c r="N10" s="311" t="s">
        <v>347</v>
      </c>
      <c r="O10" s="317">
        <v>30</v>
      </c>
      <c r="P10" s="315">
        <v>43332</v>
      </c>
      <c r="Q10" s="318">
        <v>164210</v>
      </c>
      <c r="R10" s="319">
        <v>37475</v>
      </c>
      <c r="S10" s="319">
        <v>201685</v>
      </c>
      <c r="T10" s="314">
        <v>59795821</v>
      </c>
      <c r="U10" s="320">
        <f t="shared" si="4"/>
        <v>0.9199357076923077</v>
      </c>
      <c r="V10" s="321" t="s">
        <v>61</v>
      </c>
      <c r="W10" s="311" t="s">
        <v>352</v>
      </c>
      <c r="X10" s="311" t="s">
        <v>348</v>
      </c>
      <c r="Y10" s="322"/>
    </row>
    <row r="11" spans="1:25" s="311" customFormat="1" ht="38.25" customHeight="1" x14ac:dyDescent="0.4">
      <c r="A11" s="311">
        <v>110</v>
      </c>
      <c r="B11" s="311">
        <v>606</v>
      </c>
      <c r="C11" s="312" t="str">
        <f t="shared" si="0"/>
        <v>千葉銀行</v>
      </c>
      <c r="D11" s="311" t="s">
        <v>334</v>
      </c>
      <c r="E11" s="311">
        <v>701</v>
      </c>
      <c r="F11" s="311" t="str">
        <f t="shared" si="1"/>
        <v>賃貸用不動産</v>
      </c>
      <c r="G11" s="313">
        <v>302</v>
      </c>
      <c r="H11" s="312" t="str">
        <f t="shared" si="2"/>
        <v>かぼちゃタワー102</v>
      </c>
      <c r="I11" s="311">
        <v>501</v>
      </c>
      <c r="J11" s="312" t="str">
        <f t="shared" si="3"/>
        <v>玉川陽介</v>
      </c>
      <c r="K11" s="314">
        <v>65000000</v>
      </c>
      <c r="L11" s="315">
        <v>42320</v>
      </c>
      <c r="M11" s="316">
        <v>0.75</v>
      </c>
      <c r="N11" s="311" t="s">
        <v>346</v>
      </c>
      <c r="O11" s="317">
        <v>30</v>
      </c>
      <c r="P11" s="315">
        <v>43332</v>
      </c>
      <c r="Q11" s="318">
        <v>164210</v>
      </c>
      <c r="R11" s="319">
        <v>37475</v>
      </c>
      <c r="S11" s="319">
        <v>201685</v>
      </c>
      <c r="T11" s="314">
        <v>59795821</v>
      </c>
      <c r="U11" s="320">
        <f t="shared" si="4"/>
        <v>0.9199357076923077</v>
      </c>
      <c r="V11" s="321" t="s">
        <v>61</v>
      </c>
      <c r="W11" s="311" t="s">
        <v>352</v>
      </c>
      <c r="X11" s="311" t="s">
        <v>349</v>
      </c>
      <c r="Y11" s="322"/>
    </row>
    <row r="12" spans="1:25" s="311" customFormat="1" ht="38.25" customHeight="1" x14ac:dyDescent="0.4">
      <c r="A12" s="311">
        <v>111</v>
      </c>
      <c r="B12" s="311">
        <v>607</v>
      </c>
      <c r="C12" s="312" t="str">
        <f t="shared" si="0"/>
        <v>三井住友トラストL＆F</v>
      </c>
      <c r="D12" s="311" t="s">
        <v>335</v>
      </c>
      <c r="E12" s="311">
        <v>701</v>
      </c>
      <c r="F12" s="311" t="str">
        <f t="shared" si="1"/>
        <v>賃貸用不動産</v>
      </c>
      <c r="G12" s="313">
        <v>303</v>
      </c>
      <c r="H12" s="312" t="str">
        <f t="shared" si="2"/>
        <v>ブリリア目白201</v>
      </c>
      <c r="I12" s="311">
        <v>401</v>
      </c>
      <c r="J12" s="312" t="str">
        <f t="shared" si="3"/>
        <v>コアプラス・アンド・アーキテクチャーズ株式会社</v>
      </c>
      <c r="K12" s="314">
        <v>65000000</v>
      </c>
      <c r="L12" s="315">
        <v>42320</v>
      </c>
      <c r="M12" s="316">
        <v>0.75</v>
      </c>
      <c r="N12" s="311" t="s">
        <v>346</v>
      </c>
      <c r="O12" s="317">
        <v>30</v>
      </c>
      <c r="P12" s="315">
        <v>43343</v>
      </c>
      <c r="Q12" s="318">
        <v>164210</v>
      </c>
      <c r="R12" s="319">
        <v>37475</v>
      </c>
      <c r="S12" s="319">
        <v>201685</v>
      </c>
      <c r="T12" s="314">
        <v>59795821</v>
      </c>
      <c r="U12" s="320">
        <f t="shared" si="4"/>
        <v>0.9199357076923077</v>
      </c>
      <c r="V12" s="321" t="s">
        <v>61</v>
      </c>
      <c r="W12" s="311" t="s">
        <v>352</v>
      </c>
      <c r="X12" s="311" t="s">
        <v>349</v>
      </c>
      <c r="Y12" s="322"/>
    </row>
    <row r="13" spans="1:25" s="311" customFormat="1" ht="38.25" customHeight="1" x14ac:dyDescent="0.4">
      <c r="A13" s="311">
        <v>112</v>
      </c>
      <c r="B13" s="311">
        <v>603</v>
      </c>
      <c r="C13" s="312" t="str">
        <f t="shared" si="0"/>
        <v>日本政策金融公庫</v>
      </c>
      <c r="D13" s="311" t="s">
        <v>331</v>
      </c>
      <c r="E13" s="311">
        <v>701</v>
      </c>
      <c r="F13" s="311" t="str">
        <f t="shared" si="1"/>
        <v>賃貸用不動産</v>
      </c>
      <c r="G13" s="313">
        <v>304</v>
      </c>
      <c r="H13" s="312" t="str">
        <f t="shared" si="2"/>
        <v>プラウド目白202</v>
      </c>
      <c r="I13" s="311">
        <v>402</v>
      </c>
      <c r="J13" s="312" t="str">
        <f t="shared" si="3"/>
        <v>さんためエステート株式会社</v>
      </c>
      <c r="K13" s="314">
        <v>65000000</v>
      </c>
      <c r="L13" s="315">
        <v>42320</v>
      </c>
      <c r="M13" s="316">
        <v>0.75</v>
      </c>
      <c r="N13" s="311" t="s">
        <v>346</v>
      </c>
      <c r="O13" s="317">
        <v>30</v>
      </c>
      <c r="P13" s="315">
        <v>43343</v>
      </c>
      <c r="Q13" s="318">
        <v>164210</v>
      </c>
      <c r="R13" s="319">
        <v>37475</v>
      </c>
      <c r="S13" s="319">
        <v>201685</v>
      </c>
      <c r="T13" s="314">
        <v>59795821</v>
      </c>
      <c r="U13" s="320">
        <f t="shared" si="4"/>
        <v>0.9199357076923077</v>
      </c>
      <c r="V13" s="321" t="s">
        <v>61</v>
      </c>
      <c r="W13" s="311" t="s">
        <v>352</v>
      </c>
      <c r="X13" s="311" t="s">
        <v>348</v>
      </c>
      <c r="Y13" s="322"/>
    </row>
    <row r="14" spans="1:25" s="311" customFormat="1" ht="38.25" customHeight="1" x14ac:dyDescent="0.4">
      <c r="A14" s="311">
        <v>113</v>
      </c>
      <c r="B14" s="311">
        <v>603</v>
      </c>
      <c r="C14" s="312" t="str">
        <f t="shared" si="0"/>
        <v>日本政策金融公庫</v>
      </c>
      <c r="D14" s="311" t="s">
        <v>331</v>
      </c>
      <c r="E14" s="311">
        <v>701</v>
      </c>
      <c r="F14" s="311" t="str">
        <f t="shared" si="1"/>
        <v>賃貸用不動産</v>
      </c>
      <c r="G14" s="313">
        <v>305</v>
      </c>
      <c r="H14" s="312" t="str">
        <f t="shared" si="2"/>
        <v>パークホームズ目白203</v>
      </c>
      <c r="I14" s="311">
        <v>403</v>
      </c>
      <c r="J14" s="312" t="str">
        <f t="shared" si="3"/>
        <v>よんためプロパティ株式会社</v>
      </c>
      <c r="K14" s="314">
        <v>65000000</v>
      </c>
      <c r="L14" s="315">
        <v>42320</v>
      </c>
      <c r="M14" s="316">
        <v>0.75</v>
      </c>
      <c r="N14" s="311" t="s">
        <v>346</v>
      </c>
      <c r="O14" s="317">
        <v>30</v>
      </c>
      <c r="P14" s="315">
        <v>43343</v>
      </c>
      <c r="Q14" s="318">
        <v>164210</v>
      </c>
      <c r="R14" s="319">
        <v>37475</v>
      </c>
      <c r="S14" s="319">
        <v>201685</v>
      </c>
      <c r="T14" s="314">
        <v>59795821</v>
      </c>
      <c r="U14" s="320">
        <f t="shared" si="4"/>
        <v>0.9199357076923077</v>
      </c>
      <c r="V14" s="321" t="s">
        <v>61</v>
      </c>
      <c r="W14" s="311" t="s">
        <v>352</v>
      </c>
      <c r="X14" s="311" t="s">
        <v>348</v>
      </c>
      <c r="Y14" s="322"/>
    </row>
    <row r="15" spans="1:25" s="311" customFormat="1" ht="38.25" customHeight="1" x14ac:dyDescent="0.4">
      <c r="A15" s="311">
        <v>114</v>
      </c>
      <c r="B15" s="311">
        <v>608</v>
      </c>
      <c r="C15" s="312" t="str">
        <f t="shared" si="0"/>
        <v>イオンプロダクトファイナンス</v>
      </c>
      <c r="D15" s="311" t="s">
        <v>336</v>
      </c>
      <c r="E15" s="311">
        <v>703</v>
      </c>
      <c r="F15" s="311" t="str">
        <f t="shared" si="1"/>
        <v>修繕割賦</v>
      </c>
      <c r="G15" s="313">
        <v>208</v>
      </c>
      <c r="H15" s="312" t="str">
        <f t="shared" si="2"/>
        <v>ＡＤレジデンス池袋</v>
      </c>
      <c r="I15" s="311">
        <v>406</v>
      </c>
      <c r="J15" s="312" t="str">
        <f t="shared" si="3"/>
        <v>ななためマネジメント株式会社</v>
      </c>
      <c r="K15" s="314">
        <v>65000000</v>
      </c>
      <c r="L15" s="315">
        <v>42320</v>
      </c>
      <c r="M15" s="316">
        <v>0.75</v>
      </c>
      <c r="N15" s="311" t="s">
        <v>346</v>
      </c>
      <c r="O15" s="317">
        <v>30</v>
      </c>
      <c r="P15" s="315">
        <v>43343</v>
      </c>
      <c r="Q15" s="318">
        <v>164210</v>
      </c>
      <c r="R15" s="319">
        <v>37475</v>
      </c>
      <c r="S15" s="319">
        <v>201685</v>
      </c>
      <c r="T15" s="314">
        <v>59795821</v>
      </c>
      <c r="U15" s="320">
        <f t="shared" si="4"/>
        <v>0.9199357076923077</v>
      </c>
      <c r="V15" s="321" t="s">
        <v>61</v>
      </c>
      <c r="W15" s="311" t="s">
        <v>351</v>
      </c>
      <c r="X15" s="311" t="s">
        <v>349</v>
      </c>
      <c r="Y15" s="322"/>
    </row>
    <row r="16" spans="1:25" s="311" customFormat="1" ht="38.25" customHeight="1" x14ac:dyDescent="0.4">
      <c r="A16" s="311">
        <v>115</v>
      </c>
      <c r="B16" s="311">
        <v>609</v>
      </c>
      <c r="C16" s="312" t="str">
        <f t="shared" si="0"/>
        <v>巣鴨信金</v>
      </c>
      <c r="D16" s="311" t="s">
        <v>333</v>
      </c>
      <c r="E16" s="311">
        <v>704</v>
      </c>
      <c r="F16" s="311" t="str">
        <f t="shared" si="1"/>
        <v>住宅ローン</v>
      </c>
      <c r="G16" s="313">
        <v>306</v>
      </c>
      <c r="H16" s="312" t="str">
        <f t="shared" si="2"/>
        <v>六本木ヒルズB棟3099</v>
      </c>
      <c r="I16" s="311">
        <v>501</v>
      </c>
      <c r="J16" s="312" t="str">
        <f t="shared" si="3"/>
        <v>玉川陽介</v>
      </c>
      <c r="K16" s="314">
        <v>65000000</v>
      </c>
      <c r="L16" s="315">
        <v>42320</v>
      </c>
      <c r="M16" s="316">
        <v>0.75</v>
      </c>
      <c r="N16" s="311" t="s">
        <v>346</v>
      </c>
      <c r="O16" s="317">
        <v>30</v>
      </c>
      <c r="P16" s="315">
        <v>43343</v>
      </c>
      <c r="Q16" s="318">
        <v>164210</v>
      </c>
      <c r="R16" s="319">
        <v>37475</v>
      </c>
      <c r="S16" s="319">
        <v>201685</v>
      </c>
      <c r="T16" s="314">
        <v>59795821</v>
      </c>
      <c r="U16" s="320">
        <f t="shared" si="4"/>
        <v>0.9199357076923077</v>
      </c>
      <c r="V16" s="321" t="s">
        <v>61</v>
      </c>
      <c r="W16" s="311" t="s">
        <v>352</v>
      </c>
      <c r="X16" s="311" t="s">
        <v>349</v>
      </c>
      <c r="Y16" s="322"/>
    </row>
    <row r="17" spans="1:25" s="311" customFormat="1" ht="38.25" customHeight="1" x14ac:dyDescent="0.4">
      <c r="A17" s="311">
        <v>116</v>
      </c>
      <c r="B17" s="311">
        <v>610</v>
      </c>
      <c r="C17" s="312" t="str">
        <f t="shared" si="0"/>
        <v>三井住友銀行</v>
      </c>
      <c r="D17" s="311" t="s">
        <v>333</v>
      </c>
      <c r="E17" s="311">
        <v>702</v>
      </c>
      <c r="F17" s="311" t="str">
        <f t="shared" si="1"/>
        <v>無担保</v>
      </c>
      <c r="G17" s="313">
        <v>702</v>
      </c>
      <c r="H17" s="312" t="str">
        <f t="shared" si="2"/>
        <v>無担保</v>
      </c>
      <c r="I17" s="311">
        <v>401</v>
      </c>
      <c r="J17" s="312" t="str">
        <f t="shared" si="3"/>
        <v>コアプラス・アンド・アーキテクチャーズ株式会社</v>
      </c>
      <c r="K17" s="314">
        <v>65000000</v>
      </c>
      <c r="L17" s="315">
        <v>42320</v>
      </c>
      <c r="M17" s="316">
        <v>0.75</v>
      </c>
      <c r="N17" s="311" t="s">
        <v>346</v>
      </c>
      <c r="O17" s="317">
        <v>30</v>
      </c>
      <c r="P17" s="315">
        <v>43343</v>
      </c>
      <c r="Q17" s="318">
        <v>164210</v>
      </c>
      <c r="R17" s="319">
        <v>37475</v>
      </c>
      <c r="S17" s="319">
        <v>201685</v>
      </c>
      <c r="T17" s="314">
        <v>59795821</v>
      </c>
      <c r="U17" s="320">
        <f t="shared" si="4"/>
        <v>0.9199357076923077</v>
      </c>
      <c r="V17" s="311" t="s">
        <v>350</v>
      </c>
      <c r="W17" s="311" t="s">
        <v>351</v>
      </c>
      <c r="X17" s="311" t="s">
        <v>348</v>
      </c>
      <c r="Y17" s="322"/>
    </row>
    <row r="18" spans="1:25" s="311" customFormat="1" ht="16.5" x14ac:dyDescent="0.4">
      <c r="C18" s="312"/>
      <c r="H18" s="312"/>
      <c r="J18" s="312"/>
      <c r="Y18" s="322"/>
    </row>
    <row r="19" spans="1:25" s="311" customFormat="1" ht="16.5" x14ac:dyDescent="0.4">
      <c r="C19" s="312"/>
      <c r="G19" s="313"/>
      <c r="H19" s="312"/>
      <c r="J19" s="312"/>
      <c r="Y19" s="322"/>
    </row>
    <row r="20" spans="1:25" s="311" customFormat="1" ht="16.5" x14ac:dyDescent="0.4">
      <c r="C20" s="312"/>
      <c r="G20" s="313"/>
      <c r="H20" s="312"/>
      <c r="J20" s="312"/>
      <c r="Y20" s="322"/>
    </row>
    <row r="21" spans="1:25" s="311" customFormat="1" ht="16.5" x14ac:dyDescent="0.4">
      <c r="C21" s="312"/>
      <c r="G21" s="313"/>
      <c r="H21" s="312"/>
      <c r="J21" s="312"/>
      <c r="Y21" s="322"/>
    </row>
    <row r="22" spans="1:25" s="311" customFormat="1" ht="16.5" x14ac:dyDescent="0.4">
      <c r="C22" s="312"/>
      <c r="G22" s="313"/>
      <c r="H22" s="312"/>
      <c r="J22" s="312"/>
      <c r="Y22" s="322"/>
    </row>
    <row r="23" spans="1:25" s="311" customFormat="1" ht="16.5" x14ac:dyDescent="0.4">
      <c r="C23" s="312"/>
      <c r="G23" s="313"/>
      <c r="H23" s="312"/>
      <c r="J23" s="312"/>
      <c r="Y23" s="322"/>
    </row>
    <row r="24" spans="1:25" s="311" customFormat="1" ht="16.5" x14ac:dyDescent="0.4">
      <c r="C24" s="312"/>
      <c r="G24" s="313"/>
      <c r="H24" s="312"/>
      <c r="J24" s="312"/>
      <c r="Y24" s="322"/>
    </row>
    <row r="25" spans="1:25" s="311" customFormat="1" ht="16.5" x14ac:dyDescent="0.4">
      <c r="C25" s="312"/>
      <c r="G25" s="313"/>
      <c r="H25" s="312"/>
      <c r="J25" s="312"/>
      <c r="Y25" s="322"/>
    </row>
    <row r="26" spans="1:25" s="311" customFormat="1" ht="16.5" x14ac:dyDescent="0.4">
      <c r="C26" s="312"/>
      <c r="G26" s="313"/>
      <c r="H26" s="312"/>
      <c r="J26" s="312"/>
      <c r="Y26" s="322"/>
    </row>
  </sheetData>
  <phoneticPr fontId="2"/>
  <pageMargins left="0.25" right="0.25" top="0.75" bottom="0.75" header="0.3" footer="0.3"/>
  <pageSetup paperSize="8" scale="56" orientation="landscape"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51483-0AAA-4DEF-866C-FFA9A9F76902}">
  <sheetPr>
    <pageSetUpPr fitToPage="1"/>
  </sheetPr>
  <dimension ref="A1:M21"/>
  <sheetViews>
    <sheetView view="pageBreakPreview" zoomScaleNormal="100" zoomScaleSheetLayoutView="100" workbookViewId="0"/>
  </sheetViews>
  <sheetFormatPr defaultRowHeight="15.75" x14ac:dyDescent="0.4"/>
  <cols>
    <col min="1" max="1" width="9" style="72"/>
    <col min="2" max="2" width="29" style="72" customWidth="1"/>
    <col min="3" max="5" width="18.5" style="72" customWidth="1"/>
    <col min="6" max="7" width="17.75" style="72" customWidth="1"/>
    <col min="8" max="13" width="13.375" style="72" customWidth="1"/>
    <col min="14" max="16384" width="9" style="72"/>
  </cols>
  <sheetData>
    <row r="1" spans="1:13" ht="24" x14ac:dyDescent="0.4">
      <c r="A1" s="16" t="s">
        <v>371</v>
      </c>
      <c r="B1" s="16"/>
    </row>
    <row r="2" spans="1:13" ht="24" x14ac:dyDescent="0.4">
      <c r="A2" s="405">
        <v>43190</v>
      </c>
      <c r="B2" s="405"/>
    </row>
    <row r="4" spans="1:13" x14ac:dyDescent="0.4">
      <c r="A4" s="406" t="s">
        <v>12</v>
      </c>
      <c r="B4" s="409" t="s">
        <v>373</v>
      </c>
      <c r="C4" s="412" t="s">
        <v>372</v>
      </c>
      <c r="D4" s="413"/>
      <c r="E4" s="413"/>
      <c r="F4" s="414" t="s">
        <v>374</v>
      </c>
      <c r="G4" s="415"/>
      <c r="H4" s="418" t="s">
        <v>386</v>
      </c>
      <c r="I4" s="419"/>
      <c r="J4" s="419"/>
      <c r="K4" s="419"/>
      <c r="L4" s="419"/>
      <c r="M4" s="420"/>
    </row>
    <row r="5" spans="1:13" x14ac:dyDescent="0.4">
      <c r="A5" s="407"/>
      <c r="B5" s="410"/>
      <c r="C5" s="421" t="s">
        <v>375</v>
      </c>
      <c r="D5" s="423" t="s">
        <v>376</v>
      </c>
      <c r="E5" s="425" t="s">
        <v>377</v>
      </c>
      <c r="F5" s="426" t="s">
        <v>378</v>
      </c>
      <c r="G5" s="416" t="s">
        <v>379</v>
      </c>
      <c r="H5" s="430" t="s">
        <v>380</v>
      </c>
      <c r="I5" s="432" t="s">
        <v>381</v>
      </c>
      <c r="J5" s="432" t="s">
        <v>382</v>
      </c>
      <c r="K5" s="432" t="s">
        <v>383</v>
      </c>
      <c r="L5" s="434" t="s">
        <v>384</v>
      </c>
      <c r="M5" s="428" t="s">
        <v>385</v>
      </c>
    </row>
    <row r="6" spans="1:13" x14ac:dyDescent="0.4">
      <c r="A6" s="408"/>
      <c r="B6" s="411"/>
      <c r="C6" s="422"/>
      <c r="D6" s="424"/>
      <c r="E6" s="424"/>
      <c r="F6" s="427"/>
      <c r="G6" s="417"/>
      <c r="H6" s="431"/>
      <c r="I6" s="433"/>
      <c r="J6" s="433"/>
      <c r="K6" s="433"/>
      <c r="L6" s="435"/>
      <c r="M6" s="429"/>
    </row>
    <row r="7" spans="1:13" x14ac:dyDescent="0.4">
      <c r="A7" s="72">
        <v>201</v>
      </c>
      <c r="B7" s="72" t="str">
        <f t="shared" ref="B7:B20" si="0">VLOOKUP(A7,id_list,2,FALSE)</f>
        <v>コアプラス池袋</v>
      </c>
      <c r="C7" s="164">
        <v>200000000</v>
      </c>
      <c r="D7" s="164">
        <v>30000000</v>
      </c>
      <c r="E7" s="164">
        <f>C7+D7</f>
        <v>230000000</v>
      </c>
      <c r="F7" s="72" t="s">
        <v>387</v>
      </c>
      <c r="G7" s="164">
        <v>91000000</v>
      </c>
      <c r="H7" s="164">
        <v>1200000</v>
      </c>
      <c r="I7" s="164"/>
      <c r="J7" s="164"/>
      <c r="K7" s="164"/>
      <c r="L7" s="164"/>
      <c r="M7" s="164">
        <f>SUM(H7:L7)</f>
        <v>1200000</v>
      </c>
    </row>
    <row r="8" spans="1:13" x14ac:dyDescent="0.4">
      <c r="A8" s="72">
        <v>202</v>
      </c>
      <c r="B8" s="72" t="str">
        <f t="shared" si="0"/>
        <v>大東京建託アパート池袋</v>
      </c>
      <c r="C8" s="164">
        <v>200000000</v>
      </c>
      <c r="D8" s="164">
        <v>30000000</v>
      </c>
      <c r="E8" s="164">
        <f t="shared" ref="E8:E20" si="1">C8+D8</f>
        <v>230000000</v>
      </c>
      <c r="F8" s="72" t="s">
        <v>388</v>
      </c>
      <c r="G8" s="164">
        <v>91000000</v>
      </c>
      <c r="H8" s="164">
        <v>1200000</v>
      </c>
      <c r="I8" s="164">
        <v>50000</v>
      </c>
      <c r="J8" s="164"/>
      <c r="K8" s="164"/>
      <c r="L8" s="164"/>
      <c r="M8" s="164">
        <f t="shared" ref="M8:M20" si="2">SUM(H8:L8)</f>
        <v>1250000</v>
      </c>
    </row>
    <row r="9" spans="1:13" x14ac:dyDescent="0.4">
      <c r="A9" s="72">
        <v>203</v>
      </c>
      <c r="B9" s="72" t="str">
        <f t="shared" si="0"/>
        <v>大東京建託アパート目白</v>
      </c>
      <c r="C9" s="164">
        <v>200000000</v>
      </c>
      <c r="D9" s="164">
        <v>30000000</v>
      </c>
      <c r="E9" s="164">
        <f t="shared" si="1"/>
        <v>230000000</v>
      </c>
      <c r="F9" s="72" t="s">
        <v>388</v>
      </c>
      <c r="G9" s="164">
        <v>91000000</v>
      </c>
      <c r="H9" s="164">
        <v>1200000</v>
      </c>
      <c r="I9" s="164"/>
      <c r="J9" s="164">
        <v>50000</v>
      </c>
      <c r="K9" s="164"/>
      <c r="L9" s="164"/>
      <c r="M9" s="164">
        <f t="shared" si="2"/>
        <v>1250000</v>
      </c>
    </row>
    <row r="10" spans="1:13" x14ac:dyDescent="0.4">
      <c r="A10" s="72">
        <v>204</v>
      </c>
      <c r="B10" s="72" t="str">
        <f t="shared" si="0"/>
        <v>かぼちゃレジデンス池袋</v>
      </c>
      <c r="C10" s="164">
        <v>200000000</v>
      </c>
      <c r="D10" s="164">
        <v>30000000</v>
      </c>
      <c r="E10" s="164">
        <f t="shared" si="1"/>
        <v>230000000</v>
      </c>
      <c r="F10" s="72" t="s">
        <v>388</v>
      </c>
      <c r="G10" s="164">
        <v>91000000</v>
      </c>
      <c r="H10" s="164">
        <v>1200000</v>
      </c>
      <c r="I10" s="164"/>
      <c r="J10" s="164"/>
      <c r="K10" s="164">
        <v>50000</v>
      </c>
      <c r="L10" s="164"/>
      <c r="M10" s="164">
        <f t="shared" si="2"/>
        <v>1250000</v>
      </c>
    </row>
    <row r="11" spans="1:13" x14ac:dyDescent="0.4">
      <c r="A11" s="72">
        <v>205</v>
      </c>
      <c r="B11" s="72" t="str">
        <f t="shared" si="0"/>
        <v>かぼちゃレジデンス五反田</v>
      </c>
      <c r="C11" s="164">
        <v>200000000</v>
      </c>
      <c r="D11" s="164">
        <v>30000000</v>
      </c>
      <c r="E11" s="164">
        <f t="shared" si="1"/>
        <v>230000000</v>
      </c>
      <c r="F11" s="72" t="s">
        <v>388</v>
      </c>
      <c r="G11" s="164">
        <v>91000000</v>
      </c>
      <c r="H11" s="164">
        <v>1200000</v>
      </c>
      <c r="I11" s="164"/>
      <c r="J11" s="164"/>
      <c r="K11" s="164"/>
      <c r="L11" s="164"/>
      <c r="M11" s="164">
        <f t="shared" si="2"/>
        <v>1200000</v>
      </c>
    </row>
    <row r="12" spans="1:13" x14ac:dyDescent="0.4">
      <c r="A12" s="72">
        <v>206</v>
      </c>
      <c r="B12" s="72" t="str">
        <f t="shared" si="0"/>
        <v>オープンマンション高田馬場</v>
      </c>
      <c r="C12" s="164">
        <v>200000000</v>
      </c>
      <c r="D12" s="164">
        <v>30000000</v>
      </c>
      <c r="E12" s="164">
        <f t="shared" si="1"/>
        <v>230000000</v>
      </c>
      <c r="F12" s="72" t="s">
        <v>388</v>
      </c>
      <c r="G12" s="164">
        <v>91000000</v>
      </c>
      <c r="H12" s="164">
        <v>1200000</v>
      </c>
      <c r="I12" s="164"/>
      <c r="J12" s="164"/>
      <c r="K12" s="164"/>
      <c r="L12" s="164"/>
      <c r="M12" s="164">
        <f t="shared" si="2"/>
        <v>1200000</v>
      </c>
    </row>
    <row r="13" spans="1:13" x14ac:dyDescent="0.4">
      <c r="A13" s="72">
        <v>207</v>
      </c>
      <c r="B13" s="72" t="str">
        <f t="shared" si="0"/>
        <v>無限レジデンス大塚</v>
      </c>
      <c r="C13" s="164">
        <v>200000000</v>
      </c>
      <c r="D13" s="164">
        <v>30000000</v>
      </c>
      <c r="E13" s="164">
        <f t="shared" si="1"/>
        <v>230000000</v>
      </c>
      <c r="F13" s="72" t="s">
        <v>388</v>
      </c>
      <c r="G13" s="164">
        <v>91000000</v>
      </c>
      <c r="H13" s="164">
        <v>1200000</v>
      </c>
      <c r="I13" s="164"/>
      <c r="J13" s="164"/>
      <c r="K13" s="164"/>
      <c r="L13" s="164"/>
      <c r="M13" s="164">
        <f t="shared" si="2"/>
        <v>1200000</v>
      </c>
    </row>
    <row r="14" spans="1:13" x14ac:dyDescent="0.4">
      <c r="A14" s="72">
        <v>208</v>
      </c>
      <c r="B14" s="72" t="str">
        <f t="shared" si="0"/>
        <v>ＡＤレジデンス池袋</v>
      </c>
      <c r="C14" s="164">
        <v>200000000</v>
      </c>
      <c r="D14" s="164">
        <v>30000000</v>
      </c>
      <c r="E14" s="164">
        <f t="shared" si="1"/>
        <v>230000000</v>
      </c>
      <c r="F14" s="72" t="s">
        <v>388</v>
      </c>
      <c r="G14" s="164">
        <v>91000000</v>
      </c>
      <c r="H14" s="164">
        <v>1200000</v>
      </c>
      <c r="I14" s="164"/>
      <c r="J14" s="164"/>
      <c r="K14" s="164"/>
      <c r="L14" s="164"/>
      <c r="M14" s="164">
        <f t="shared" si="2"/>
        <v>1200000</v>
      </c>
    </row>
    <row r="15" spans="1:13" x14ac:dyDescent="0.4">
      <c r="A15" s="72">
        <v>301</v>
      </c>
      <c r="B15" s="72" t="str">
        <f t="shared" si="0"/>
        <v>かぼちゃタワー101</v>
      </c>
      <c r="C15" s="164">
        <v>60000000</v>
      </c>
      <c r="D15" s="164">
        <v>8000000</v>
      </c>
      <c r="E15" s="164">
        <f t="shared" si="1"/>
        <v>68000000</v>
      </c>
      <c r="F15" s="72" t="s">
        <v>388</v>
      </c>
      <c r="G15" s="164">
        <v>71000000</v>
      </c>
      <c r="H15" s="164">
        <v>450000</v>
      </c>
      <c r="I15" s="164"/>
      <c r="J15" s="164"/>
      <c r="K15" s="164"/>
      <c r="L15" s="164"/>
      <c r="M15" s="164">
        <f t="shared" si="2"/>
        <v>450000</v>
      </c>
    </row>
    <row r="16" spans="1:13" x14ac:dyDescent="0.4">
      <c r="A16" s="72">
        <v>302</v>
      </c>
      <c r="B16" s="72" t="str">
        <f t="shared" si="0"/>
        <v>かぼちゃタワー102</v>
      </c>
      <c r="C16" s="164">
        <v>60000000</v>
      </c>
      <c r="D16" s="164">
        <v>8000000</v>
      </c>
      <c r="E16" s="164">
        <f t="shared" si="1"/>
        <v>68000000</v>
      </c>
      <c r="F16" s="72" t="s">
        <v>388</v>
      </c>
      <c r="G16" s="164">
        <v>71000000</v>
      </c>
      <c r="H16" s="164">
        <v>450000</v>
      </c>
      <c r="I16" s="164"/>
      <c r="J16" s="164"/>
      <c r="K16" s="164"/>
      <c r="L16" s="164"/>
      <c r="M16" s="164">
        <f t="shared" si="2"/>
        <v>450000</v>
      </c>
    </row>
    <row r="17" spans="1:13" x14ac:dyDescent="0.4">
      <c r="A17" s="72">
        <v>303</v>
      </c>
      <c r="B17" s="72" t="str">
        <f t="shared" si="0"/>
        <v>ブリリア目白201</v>
      </c>
      <c r="C17" s="164">
        <v>60000000</v>
      </c>
      <c r="D17" s="164">
        <v>8000000</v>
      </c>
      <c r="E17" s="164">
        <f t="shared" si="1"/>
        <v>68000000</v>
      </c>
      <c r="F17" s="72" t="s">
        <v>388</v>
      </c>
      <c r="G17" s="164">
        <v>71000000</v>
      </c>
      <c r="H17" s="164">
        <v>450000</v>
      </c>
      <c r="I17" s="164"/>
      <c r="J17" s="164"/>
      <c r="K17" s="164"/>
      <c r="L17" s="164"/>
      <c r="M17" s="164">
        <f t="shared" si="2"/>
        <v>450000</v>
      </c>
    </row>
    <row r="18" spans="1:13" x14ac:dyDescent="0.4">
      <c r="A18" s="72">
        <v>304</v>
      </c>
      <c r="B18" s="72" t="str">
        <f t="shared" si="0"/>
        <v>プラウド目白202</v>
      </c>
      <c r="C18" s="164">
        <v>60000000</v>
      </c>
      <c r="D18" s="164">
        <v>8000000</v>
      </c>
      <c r="E18" s="164">
        <f t="shared" si="1"/>
        <v>68000000</v>
      </c>
      <c r="F18" s="72" t="s">
        <v>388</v>
      </c>
      <c r="G18" s="164">
        <v>71000000</v>
      </c>
      <c r="H18" s="164">
        <v>450000</v>
      </c>
      <c r="I18" s="164"/>
      <c r="J18" s="164"/>
      <c r="K18" s="164"/>
      <c r="L18" s="164"/>
      <c r="M18" s="164">
        <f t="shared" si="2"/>
        <v>450000</v>
      </c>
    </row>
    <row r="19" spans="1:13" x14ac:dyDescent="0.4">
      <c r="A19" s="216">
        <v>305</v>
      </c>
      <c r="B19" s="216" t="str">
        <f t="shared" si="0"/>
        <v>パークホームズ目白203</v>
      </c>
      <c r="C19" s="324">
        <v>60000000</v>
      </c>
      <c r="D19" s="324">
        <v>8000000</v>
      </c>
      <c r="E19" s="324">
        <f t="shared" si="1"/>
        <v>68000000</v>
      </c>
      <c r="F19" s="216" t="s">
        <v>388</v>
      </c>
      <c r="G19" s="324">
        <v>71000000</v>
      </c>
      <c r="H19" s="324">
        <v>450000</v>
      </c>
      <c r="I19" s="324"/>
      <c r="J19" s="324"/>
      <c r="K19" s="324"/>
      <c r="L19" s="324"/>
      <c r="M19" s="324">
        <f t="shared" si="2"/>
        <v>450000</v>
      </c>
    </row>
    <row r="20" spans="1:13" ht="16.5" thickBot="1" x14ac:dyDescent="0.45">
      <c r="A20" s="198">
        <v>306</v>
      </c>
      <c r="B20" s="198" t="str">
        <f t="shared" si="0"/>
        <v>六本木ヒルズB棟3099</v>
      </c>
      <c r="C20" s="325">
        <v>60000000</v>
      </c>
      <c r="D20" s="325">
        <v>8000000</v>
      </c>
      <c r="E20" s="325">
        <f t="shared" si="1"/>
        <v>68000000</v>
      </c>
      <c r="F20" s="198" t="s">
        <v>388</v>
      </c>
      <c r="G20" s="325">
        <v>71000000</v>
      </c>
      <c r="H20" s="325">
        <v>450000</v>
      </c>
      <c r="I20" s="325"/>
      <c r="J20" s="325"/>
      <c r="K20" s="325"/>
      <c r="L20" s="325"/>
      <c r="M20" s="325">
        <f t="shared" si="2"/>
        <v>450000</v>
      </c>
    </row>
    <row r="21" spans="1:13" ht="16.5" thickTop="1" x14ac:dyDescent="0.4">
      <c r="B21" s="195" t="s">
        <v>356</v>
      </c>
      <c r="C21" s="326">
        <f>SUM(C7:C20)</f>
        <v>1960000000</v>
      </c>
      <c r="D21" s="326">
        <f t="shared" ref="D21:M21" si="3">SUM(D7:D20)</f>
        <v>288000000</v>
      </c>
      <c r="E21" s="326">
        <f t="shared" si="3"/>
        <v>2248000000</v>
      </c>
      <c r="F21" s="326">
        <f>C21</f>
        <v>1960000000</v>
      </c>
      <c r="G21" s="326">
        <f t="shared" si="3"/>
        <v>1154000000</v>
      </c>
      <c r="H21" s="326">
        <f t="shared" si="3"/>
        <v>12300000</v>
      </c>
      <c r="I21" s="326">
        <f t="shared" si="3"/>
        <v>50000</v>
      </c>
      <c r="J21" s="326">
        <f t="shared" si="3"/>
        <v>50000</v>
      </c>
      <c r="K21" s="326">
        <f t="shared" si="3"/>
        <v>50000</v>
      </c>
      <c r="L21" s="326">
        <f t="shared" si="3"/>
        <v>0</v>
      </c>
      <c r="M21" s="326">
        <f t="shared" si="3"/>
        <v>12450000</v>
      </c>
    </row>
  </sheetData>
  <mergeCells count="17">
    <mergeCell ref="H4:M4"/>
    <mergeCell ref="C5:C6"/>
    <mergeCell ref="D5:D6"/>
    <mergeCell ref="E5:E6"/>
    <mergeCell ref="F5:F6"/>
    <mergeCell ref="M5:M6"/>
    <mergeCell ref="H5:H6"/>
    <mergeCell ref="I5:I6"/>
    <mergeCell ref="J5:J6"/>
    <mergeCell ref="K5:K6"/>
    <mergeCell ref="L5:L6"/>
    <mergeCell ref="A2:B2"/>
    <mergeCell ref="A4:A6"/>
    <mergeCell ref="B4:B6"/>
    <mergeCell ref="C4:E4"/>
    <mergeCell ref="F4:G4"/>
    <mergeCell ref="G5:G6"/>
  </mergeCells>
  <phoneticPr fontId="3"/>
  <pageMargins left="0.70866141732283461" right="0.70866141732283461" top="0.74803149606299213" bottom="0.74803149606299213" header="0.31496062992125984" footer="0.31496062992125984"/>
  <pageSetup paperSize="8" scale="84" orientation="landscape"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6D88-311D-440A-888E-378B0672D4F2}">
  <sheetPr>
    <pageSetUpPr fitToPage="1"/>
  </sheetPr>
  <dimension ref="A1:K59"/>
  <sheetViews>
    <sheetView view="pageBreakPreview" zoomScaleNormal="100" zoomScaleSheetLayoutView="100" workbookViewId="0">
      <selection sqref="A1:C1"/>
    </sheetView>
  </sheetViews>
  <sheetFormatPr defaultRowHeight="15.75" x14ac:dyDescent="0.4"/>
  <cols>
    <col min="1" max="1" width="22.75" style="72" bestFit="1" customWidth="1"/>
    <col min="2" max="11" width="16.5" style="72" customWidth="1"/>
    <col min="12" max="12" width="5.5" style="72" bestFit="1" customWidth="1"/>
    <col min="13" max="16384" width="9" style="72"/>
  </cols>
  <sheetData>
    <row r="1" spans="1:11" ht="21" x14ac:dyDescent="0.4">
      <c r="A1" s="436" t="str">
        <f>賃料内訳!P1&amp;"賃料集計"</f>
        <v>2018年8月末現在賃料集計</v>
      </c>
      <c r="B1" s="436"/>
      <c r="C1" s="436"/>
    </row>
    <row r="3" spans="1:11" ht="24" x14ac:dyDescent="0.4">
      <c r="A3" s="53" t="s">
        <v>543</v>
      </c>
      <c r="B3" s="327"/>
      <c r="C3" s="327"/>
      <c r="D3" s="328"/>
      <c r="E3" s="328"/>
      <c r="F3" s="328"/>
      <c r="G3" s="328"/>
      <c r="H3" s="328"/>
      <c r="I3" s="328"/>
      <c r="J3" s="328"/>
      <c r="K3" s="328"/>
    </row>
    <row r="4" spans="1:11" ht="20.100000000000001" customHeight="1" x14ac:dyDescent="0.4">
      <c r="A4" s="440" t="s">
        <v>487</v>
      </c>
      <c r="B4" s="440" t="s">
        <v>446</v>
      </c>
      <c r="C4" s="443"/>
      <c r="D4" s="443"/>
      <c r="E4" s="443"/>
      <c r="F4" s="443"/>
      <c r="G4" s="443"/>
      <c r="H4" s="443"/>
      <c r="I4" s="443"/>
      <c r="J4" s="443"/>
      <c r="K4" s="443"/>
    </row>
    <row r="5" spans="1:11" ht="20.100000000000001" customHeight="1" x14ac:dyDescent="0.4">
      <c r="A5" s="440" t="s">
        <v>366</v>
      </c>
      <c r="B5" s="443" t="s">
        <v>395</v>
      </c>
      <c r="C5" s="72" t="s">
        <v>396</v>
      </c>
      <c r="D5" s="72" t="s">
        <v>397</v>
      </c>
      <c r="E5" s="72" t="s">
        <v>140</v>
      </c>
      <c r="F5" s="72" t="s">
        <v>435</v>
      </c>
      <c r="G5" s="72" t="s">
        <v>400</v>
      </c>
      <c r="H5" s="72" t="s">
        <v>401</v>
      </c>
      <c r="I5" s="72" t="s">
        <v>398</v>
      </c>
      <c r="J5" s="72" t="s">
        <v>399</v>
      </c>
      <c r="K5" s="443" t="s">
        <v>356</v>
      </c>
    </row>
    <row r="6" spans="1:11" ht="20.100000000000001" customHeight="1" x14ac:dyDescent="0.4">
      <c r="A6" s="442" t="s">
        <v>14</v>
      </c>
      <c r="B6" s="444">
        <v>279000</v>
      </c>
      <c r="C6" s="444">
        <v>270000</v>
      </c>
      <c r="D6" s="444">
        <v>864000</v>
      </c>
      <c r="E6" s="444">
        <v>97200</v>
      </c>
      <c r="F6" s="444">
        <v>55000</v>
      </c>
      <c r="G6" s="444">
        <v>54000</v>
      </c>
      <c r="H6" s="444">
        <v>55000</v>
      </c>
      <c r="I6" s="444">
        <v>70000</v>
      </c>
      <c r="J6" s="444">
        <v>32400</v>
      </c>
      <c r="K6" s="444">
        <v>1776600</v>
      </c>
    </row>
    <row r="7" spans="1:11" ht="20.100000000000001" customHeight="1" x14ac:dyDescent="0.4">
      <c r="A7" s="300" t="s">
        <v>57</v>
      </c>
      <c r="B7" s="444">
        <v>279000</v>
      </c>
      <c r="C7" s="444">
        <v>270000</v>
      </c>
      <c r="D7" s="444">
        <v>864000</v>
      </c>
      <c r="E7" s="444">
        <v>97200</v>
      </c>
      <c r="F7" s="444">
        <v>55000</v>
      </c>
      <c r="G7" s="444">
        <v>54000</v>
      </c>
      <c r="H7" s="444">
        <v>55000</v>
      </c>
      <c r="I7" s="444">
        <v>70000</v>
      </c>
      <c r="J7" s="444"/>
      <c r="K7" s="444">
        <v>1744200</v>
      </c>
    </row>
    <row r="8" spans="1:11" ht="20.100000000000001" customHeight="1" x14ac:dyDescent="0.4">
      <c r="A8" s="300" t="s">
        <v>538</v>
      </c>
      <c r="B8" s="444">
        <v>279000</v>
      </c>
      <c r="C8" s="444">
        <v>270000</v>
      </c>
      <c r="D8" s="444">
        <v>864000</v>
      </c>
      <c r="E8" s="444">
        <v>97200</v>
      </c>
      <c r="F8" s="444">
        <v>55000</v>
      </c>
      <c r="G8" s="444">
        <v>54000</v>
      </c>
      <c r="H8" s="444">
        <v>55000</v>
      </c>
      <c r="I8" s="444">
        <v>70000</v>
      </c>
      <c r="J8" s="444"/>
      <c r="K8" s="444">
        <v>1744200</v>
      </c>
    </row>
    <row r="9" spans="1:11" ht="20.100000000000001" customHeight="1" x14ac:dyDescent="0.4">
      <c r="A9" s="300" t="s">
        <v>536</v>
      </c>
      <c r="B9" s="444">
        <v>279000</v>
      </c>
      <c r="C9" s="444">
        <v>270000</v>
      </c>
      <c r="D9" s="444">
        <v>864000</v>
      </c>
      <c r="E9" s="444">
        <v>97200</v>
      </c>
      <c r="F9" s="444">
        <v>55000</v>
      </c>
      <c r="G9" s="444">
        <v>54000</v>
      </c>
      <c r="H9" s="444">
        <v>55000</v>
      </c>
      <c r="I9" s="444">
        <v>70000</v>
      </c>
      <c r="J9" s="444"/>
      <c r="K9" s="444">
        <v>1744200</v>
      </c>
    </row>
    <row r="10" spans="1:11" ht="20.100000000000001" customHeight="1" x14ac:dyDescent="0.4">
      <c r="A10" s="300" t="s">
        <v>18</v>
      </c>
      <c r="B10" s="444">
        <v>279000</v>
      </c>
      <c r="C10" s="444">
        <v>270000</v>
      </c>
      <c r="D10" s="444">
        <v>864000</v>
      </c>
      <c r="E10" s="444">
        <v>97200</v>
      </c>
      <c r="F10" s="444">
        <v>55000</v>
      </c>
      <c r="G10" s="444">
        <v>54000</v>
      </c>
      <c r="H10" s="444">
        <v>55000</v>
      </c>
      <c r="I10" s="444">
        <v>70000</v>
      </c>
      <c r="J10" s="444"/>
      <c r="K10" s="444">
        <v>1744200</v>
      </c>
    </row>
    <row r="11" spans="1:11" ht="20.100000000000001" customHeight="1" x14ac:dyDescent="0.4">
      <c r="A11" s="300" t="s">
        <v>55</v>
      </c>
      <c r="B11" s="444">
        <v>279000</v>
      </c>
      <c r="C11" s="444">
        <v>270000</v>
      </c>
      <c r="D11" s="444">
        <v>864000</v>
      </c>
      <c r="E11" s="444">
        <v>97200</v>
      </c>
      <c r="F11" s="444">
        <v>55000</v>
      </c>
      <c r="G11" s="444">
        <v>54000</v>
      </c>
      <c r="H11" s="444">
        <v>55000</v>
      </c>
      <c r="I11" s="444">
        <v>70000</v>
      </c>
      <c r="J11" s="444"/>
      <c r="K11" s="444">
        <v>1744200</v>
      </c>
    </row>
    <row r="12" spans="1:11" ht="20.100000000000001" customHeight="1" x14ac:dyDescent="0.4">
      <c r="A12" s="300" t="s">
        <v>16</v>
      </c>
      <c r="B12" s="444">
        <v>279000</v>
      </c>
      <c r="C12" s="444">
        <v>270000</v>
      </c>
      <c r="D12" s="444">
        <v>864000</v>
      </c>
      <c r="E12" s="444">
        <v>97200</v>
      </c>
      <c r="F12" s="444">
        <v>55000</v>
      </c>
      <c r="G12" s="444">
        <v>54000</v>
      </c>
      <c r="H12" s="444">
        <v>55000</v>
      </c>
      <c r="I12" s="444">
        <v>70000</v>
      </c>
      <c r="J12" s="444"/>
      <c r="K12" s="444">
        <v>1744200</v>
      </c>
    </row>
    <row r="13" spans="1:11" ht="20.100000000000001" customHeight="1" x14ac:dyDescent="0.4">
      <c r="A13" s="300" t="s">
        <v>59</v>
      </c>
      <c r="B13" s="444">
        <v>279000</v>
      </c>
      <c r="C13" s="444">
        <v>270000</v>
      </c>
      <c r="D13" s="444">
        <v>864000</v>
      </c>
      <c r="E13" s="444">
        <v>97200</v>
      </c>
      <c r="F13" s="444">
        <v>55000</v>
      </c>
      <c r="G13" s="444">
        <v>54000</v>
      </c>
      <c r="H13" s="444">
        <v>55000</v>
      </c>
      <c r="I13" s="444">
        <v>70000</v>
      </c>
      <c r="J13" s="444"/>
      <c r="K13" s="444">
        <v>1744200</v>
      </c>
    </row>
    <row r="14" spans="1:11" ht="20.100000000000001" customHeight="1" x14ac:dyDescent="0.4">
      <c r="A14" s="300" t="s">
        <v>342</v>
      </c>
      <c r="B14" s="444">
        <v>300000</v>
      </c>
      <c r="C14" s="444"/>
      <c r="D14" s="444"/>
      <c r="E14" s="444">
        <v>50000</v>
      </c>
      <c r="F14" s="444"/>
      <c r="G14" s="444"/>
      <c r="H14" s="444"/>
      <c r="I14" s="444"/>
      <c r="J14" s="444"/>
      <c r="K14" s="444">
        <v>350000</v>
      </c>
    </row>
    <row r="15" spans="1:11" ht="20.100000000000001" customHeight="1" x14ac:dyDescent="0.4">
      <c r="A15" s="300" t="s">
        <v>228</v>
      </c>
      <c r="B15" s="444">
        <v>305000</v>
      </c>
      <c r="C15" s="444"/>
      <c r="D15" s="444"/>
      <c r="E15" s="444"/>
      <c r="F15" s="444"/>
      <c r="G15" s="444"/>
      <c r="H15" s="444"/>
      <c r="I15" s="444"/>
      <c r="J15" s="444"/>
      <c r="K15" s="444">
        <v>305000</v>
      </c>
    </row>
    <row r="16" spans="1:11" ht="20.100000000000001" customHeight="1" x14ac:dyDescent="0.4">
      <c r="A16" s="300" t="s">
        <v>226</v>
      </c>
      <c r="B16" s="444">
        <v>305000</v>
      </c>
      <c r="C16" s="444"/>
      <c r="D16" s="444"/>
      <c r="E16" s="444"/>
      <c r="F16" s="444"/>
      <c r="G16" s="444"/>
      <c r="H16" s="444"/>
      <c r="I16" s="444"/>
      <c r="J16" s="444"/>
      <c r="K16" s="444">
        <v>305000</v>
      </c>
    </row>
    <row r="17" spans="1:11" ht="20.100000000000001" customHeight="1" x14ac:dyDescent="0.4">
      <c r="A17" s="300" t="s">
        <v>22</v>
      </c>
      <c r="B17" s="444">
        <v>305000</v>
      </c>
      <c r="C17" s="444"/>
      <c r="D17" s="444"/>
      <c r="E17" s="444"/>
      <c r="F17" s="444"/>
      <c r="G17" s="444"/>
      <c r="H17" s="444"/>
      <c r="I17" s="444"/>
      <c r="J17" s="444"/>
      <c r="K17" s="444">
        <v>305000</v>
      </c>
    </row>
    <row r="18" spans="1:11" ht="20.100000000000001" customHeight="1" x14ac:dyDescent="0.4">
      <c r="A18" s="300" t="s">
        <v>230</v>
      </c>
      <c r="B18" s="444">
        <v>305000</v>
      </c>
      <c r="C18" s="444"/>
      <c r="D18" s="444"/>
      <c r="E18" s="444"/>
      <c r="F18" s="444"/>
      <c r="G18" s="444"/>
      <c r="H18" s="444"/>
      <c r="I18" s="444"/>
      <c r="J18" s="444"/>
      <c r="K18" s="444">
        <v>305000</v>
      </c>
    </row>
    <row r="19" spans="1:11" ht="20.100000000000001" customHeight="1" x14ac:dyDescent="0.4">
      <c r="A19" s="300" t="s">
        <v>20</v>
      </c>
      <c r="B19" s="444">
        <v>303000</v>
      </c>
      <c r="C19" s="444"/>
      <c r="D19" s="444"/>
      <c r="E19" s="444"/>
      <c r="F19" s="444"/>
      <c r="G19" s="444"/>
      <c r="H19" s="444"/>
      <c r="I19" s="444"/>
      <c r="J19" s="444"/>
      <c r="K19" s="444">
        <v>303000</v>
      </c>
    </row>
    <row r="20" spans="1:11" ht="20.100000000000001" customHeight="1" x14ac:dyDescent="0.4">
      <c r="A20" s="442" t="s">
        <v>356</v>
      </c>
      <c r="B20" s="444">
        <v>4055000</v>
      </c>
      <c r="C20" s="444">
        <v>2160000</v>
      </c>
      <c r="D20" s="444">
        <v>6912000</v>
      </c>
      <c r="E20" s="444">
        <v>827600</v>
      </c>
      <c r="F20" s="444">
        <v>440000</v>
      </c>
      <c r="G20" s="444">
        <v>432000</v>
      </c>
      <c r="H20" s="444">
        <v>440000</v>
      </c>
      <c r="I20" s="444">
        <v>560000</v>
      </c>
      <c r="J20" s="444">
        <v>32400</v>
      </c>
      <c r="K20" s="444">
        <v>15859000</v>
      </c>
    </row>
    <row r="21" spans="1:11" ht="20.100000000000001" customHeight="1" thickBot="1" x14ac:dyDescent="0.45">
      <c r="A21" s="329" t="s">
        <v>546</v>
      </c>
      <c r="B21" s="198"/>
      <c r="C21" s="198"/>
      <c r="D21" s="198"/>
      <c r="E21" s="198"/>
      <c r="F21" s="198"/>
      <c r="G21" s="198"/>
      <c r="H21" s="198"/>
      <c r="I21" s="198"/>
      <c r="J21" s="198"/>
      <c r="K21" s="325">
        <f>GETPIVOTDATA("再募集想定額計",$A$4)*12</f>
        <v>190308000</v>
      </c>
    </row>
    <row r="22" spans="1:11" ht="16.5" thickTop="1" x14ac:dyDescent="0.4">
      <c r="A22" s="330"/>
    </row>
    <row r="23" spans="1:11" ht="24" x14ac:dyDescent="0.4">
      <c r="A23" s="54" t="s">
        <v>545</v>
      </c>
      <c r="B23" s="331"/>
      <c r="C23" s="331"/>
      <c r="D23" s="332"/>
      <c r="E23" s="332"/>
      <c r="F23" s="332"/>
      <c r="G23" s="332"/>
      <c r="H23" s="332"/>
      <c r="I23" s="332"/>
      <c r="J23" s="332"/>
      <c r="K23" s="332"/>
    </row>
    <row r="24" spans="1:11" ht="20.100000000000001" customHeight="1" x14ac:dyDescent="0.4">
      <c r="A24" s="440" t="s">
        <v>486</v>
      </c>
      <c r="B24" s="440" t="s">
        <v>446</v>
      </c>
      <c r="C24" s="443"/>
      <c r="D24" s="443"/>
      <c r="E24" s="443"/>
      <c r="F24" s="443"/>
      <c r="G24" s="443"/>
      <c r="H24" s="443"/>
      <c r="I24" s="443"/>
      <c r="J24" s="443"/>
      <c r="K24" s="443"/>
    </row>
    <row r="25" spans="1:11" ht="20.100000000000001" customHeight="1" x14ac:dyDescent="0.4">
      <c r="A25" s="440" t="s">
        <v>366</v>
      </c>
      <c r="B25" s="443" t="s">
        <v>395</v>
      </c>
      <c r="C25" s="72" t="s">
        <v>396</v>
      </c>
      <c r="D25" s="72" t="s">
        <v>397</v>
      </c>
      <c r="E25" s="72" t="s">
        <v>140</v>
      </c>
      <c r="F25" s="72" t="s">
        <v>435</v>
      </c>
      <c r="G25" s="72" t="s">
        <v>400</v>
      </c>
      <c r="H25" s="72" t="s">
        <v>401</v>
      </c>
      <c r="I25" s="72" t="s">
        <v>398</v>
      </c>
      <c r="J25" s="72" t="s">
        <v>399</v>
      </c>
      <c r="K25" s="443" t="s">
        <v>356</v>
      </c>
    </row>
    <row r="26" spans="1:11" ht="20.100000000000001" customHeight="1" x14ac:dyDescent="0.4">
      <c r="A26" s="442" t="s">
        <v>14</v>
      </c>
      <c r="B26" s="444">
        <v>159000</v>
      </c>
      <c r="C26" s="444">
        <v>270000</v>
      </c>
      <c r="D26" s="444">
        <v>864000</v>
      </c>
      <c r="E26" s="444">
        <v>97200</v>
      </c>
      <c r="F26" s="444">
        <v>55000</v>
      </c>
      <c r="G26" s="444">
        <v>54000</v>
      </c>
      <c r="H26" s="444">
        <v>55000</v>
      </c>
      <c r="I26" s="444">
        <v>70000</v>
      </c>
      <c r="J26" s="444">
        <v>32400</v>
      </c>
      <c r="K26" s="444">
        <v>1656600</v>
      </c>
    </row>
    <row r="27" spans="1:11" ht="20.100000000000001" customHeight="1" x14ac:dyDescent="0.4">
      <c r="A27" s="300" t="s">
        <v>55</v>
      </c>
      <c r="B27" s="444">
        <v>159000</v>
      </c>
      <c r="C27" s="444">
        <v>270000</v>
      </c>
      <c r="D27" s="444">
        <v>864000</v>
      </c>
      <c r="E27" s="444">
        <v>97200</v>
      </c>
      <c r="F27" s="444">
        <v>55000</v>
      </c>
      <c r="G27" s="444">
        <v>54000</v>
      </c>
      <c r="H27" s="444">
        <v>55000</v>
      </c>
      <c r="I27" s="444">
        <v>70000</v>
      </c>
      <c r="J27" s="444"/>
      <c r="K27" s="444">
        <v>1624200</v>
      </c>
    </row>
    <row r="28" spans="1:11" ht="20.100000000000001" customHeight="1" x14ac:dyDescent="0.4">
      <c r="A28" s="300" t="s">
        <v>536</v>
      </c>
      <c r="B28" s="444">
        <v>159000</v>
      </c>
      <c r="C28" s="444">
        <v>270000</v>
      </c>
      <c r="D28" s="444">
        <v>864000</v>
      </c>
      <c r="E28" s="444">
        <v>97200</v>
      </c>
      <c r="F28" s="444">
        <v>55000</v>
      </c>
      <c r="G28" s="444">
        <v>54000</v>
      </c>
      <c r="H28" s="444">
        <v>55000</v>
      </c>
      <c r="I28" s="444">
        <v>70000</v>
      </c>
      <c r="J28" s="444"/>
      <c r="K28" s="444">
        <v>1624200</v>
      </c>
    </row>
    <row r="29" spans="1:11" ht="20.100000000000001" customHeight="1" x14ac:dyDescent="0.4">
      <c r="A29" s="300" t="s">
        <v>59</v>
      </c>
      <c r="B29" s="444">
        <v>159000</v>
      </c>
      <c r="C29" s="444">
        <v>270000</v>
      </c>
      <c r="D29" s="444">
        <v>864000</v>
      </c>
      <c r="E29" s="444">
        <v>97200</v>
      </c>
      <c r="F29" s="444">
        <v>55000</v>
      </c>
      <c r="G29" s="444">
        <v>54000</v>
      </c>
      <c r="H29" s="444">
        <v>55000</v>
      </c>
      <c r="I29" s="444">
        <v>70000</v>
      </c>
      <c r="J29" s="444"/>
      <c r="K29" s="444">
        <v>1624200</v>
      </c>
    </row>
    <row r="30" spans="1:11" ht="20.100000000000001" customHeight="1" x14ac:dyDescent="0.4">
      <c r="A30" s="300" t="s">
        <v>18</v>
      </c>
      <c r="B30" s="444">
        <v>159000</v>
      </c>
      <c r="C30" s="444">
        <v>270000</v>
      </c>
      <c r="D30" s="444">
        <v>864000</v>
      </c>
      <c r="E30" s="444">
        <v>97200</v>
      </c>
      <c r="F30" s="444">
        <v>55000</v>
      </c>
      <c r="G30" s="444">
        <v>54000</v>
      </c>
      <c r="H30" s="444">
        <v>55000</v>
      </c>
      <c r="I30" s="444">
        <v>70000</v>
      </c>
      <c r="J30" s="444"/>
      <c r="K30" s="444">
        <v>1624200</v>
      </c>
    </row>
    <row r="31" spans="1:11" ht="20.100000000000001" customHeight="1" x14ac:dyDescent="0.4">
      <c r="A31" s="300" t="s">
        <v>538</v>
      </c>
      <c r="B31" s="444">
        <v>159000</v>
      </c>
      <c r="C31" s="444">
        <v>270000</v>
      </c>
      <c r="D31" s="444">
        <v>864000</v>
      </c>
      <c r="E31" s="444">
        <v>97200</v>
      </c>
      <c r="F31" s="444">
        <v>55000</v>
      </c>
      <c r="G31" s="444">
        <v>54000</v>
      </c>
      <c r="H31" s="444">
        <v>55000</v>
      </c>
      <c r="I31" s="444">
        <v>70000</v>
      </c>
      <c r="J31" s="444"/>
      <c r="K31" s="444">
        <v>1624200</v>
      </c>
    </row>
    <row r="32" spans="1:11" ht="20.100000000000001" customHeight="1" x14ac:dyDescent="0.4">
      <c r="A32" s="300" t="s">
        <v>16</v>
      </c>
      <c r="B32" s="444">
        <v>159000</v>
      </c>
      <c r="C32" s="444">
        <v>270000</v>
      </c>
      <c r="D32" s="444">
        <v>864000</v>
      </c>
      <c r="E32" s="444">
        <v>97200</v>
      </c>
      <c r="F32" s="444">
        <v>55000</v>
      </c>
      <c r="G32" s="444">
        <v>54000</v>
      </c>
      <c r="H32" s="444">
        <v>55000</v>
      </c>
      <c r="I32" s="444">
        <v>70000</v>
      </c>
      <c r="J32" s="444"/>
      <c r="K32" s="444">
        <v>1624200</v>
      </c>
    </row>
    <row r="33" spans="1:11" ht="20.100000000000001" customHeight="1" x14ac:dyDescent="0.4">
      <c r="A33" s="300" t="s">
        <v>57</v>
      </c>
      <c r="B33" s="444">
        <v>159000</v>
      </c>
      <c r="C33" s="444">
        <v>270000</v>
      </c>
      <c r="D33" s="444">
        <v>864000</v>
      </c>
      <c r="E33" s="444">
        <v>97200</v>
      </c>
      <c r="F33" s="444">
        <v>55000</v>
      </c>
      <c r="G33" s="444">
        <v>54000</v>
      </c>
      <c r="H33" s="444">
        <v>55000</v>
      </c>
      <c r="I33" s="444">
        <v>70000</v>
      </c>
      <c r="J33" s="444"/>
      <c r="K33" s="444">
        <v>1624200</v>
      </c>
    </row>
    <row r="34" spans="1:11" ht="20.100000000000001" customHeight="1" x14ac:dyDescent="0.4">
      <c r="A34" s="300" t="s">
        <v>226</v>
      </c>
      <c r="B34" s="444">
        <v>305000</v>
      </c>
      <c r="C34" s="444"/>
      <c r="D34" s="444"/>
      <c r="E34" s="444"/>
      <c r="F34" s="444"/>
      <c r="G34" s="444"/>
      <c r="H34" s="444"/>
      <c r="I34" s="444"/>
      <c r="J34" s="444"/>
      <c r="K34" s="444">
        <v>305000</v>
      </c>
    </row>
    <row r="35" spans="1:11" ht="20.100000000000001" customHeight="1" x14ac:dyDescent="0.4">
      <c r="A35" s="300" t="s">
        <v>228</v>
      </c>
      <c r="B35" s="444">
        <v>305000</v>
      </c>
      <c r="C35" s="444"/>
      <c r="D35" s="444"/>
      <c r="E35" s="444"/>
      <c r="F35" s="444"/>
      <c r="G35" s="444"/>
      <c r="H35" s="444"/>
      <c r="I35" s="444"/>
      <c r="J35" s="444"/>
      <c r="K35" s="444">
        <v>305000</v>
      </c>
    </row>
    <row r="36" spans="1:11" ht="20.100000000000001" customHeight="1" x14ac:dyDescent="0.4">
      <c r="A36" s="300" t="s">
        <v>22</v>
      </c>
      <c r="B36" s="444">
        <v>305000</v>
      </c>
      <c r="C36" s="444"/>
      <c r="D36" s="444"/>
      <c r="E36" s="444"/>
      <c r="F36" s="444"/>
      <c r="G36" s="444"/>
      <c r="H36" s="444"/>
      <c r="I36" s="444"/>
      <c r="J36" s="444"/>
      <c r="K36" s="444">
        <v>305000</v>
      </c>
    </row>
    <row r="37" spans="1:11" ht="20.100000000000001" customHeight="1" x14ac:dyDescent="0.4">
      <c r="A37" s="300" t="s">
        <v>230</v>
      </c>
      <c r="B37" s="444">
        <v>305000</v>
      </c>
      <c r="C37" s="444"/>
      <c r="D37" s="444"/>
      <c r="E37" s="444"/>
      <c r="F37" s="444"/>
      <c r="G37" s="444"/>
      <c r="H37" s="444"/>
      <c r="I37" s="444"/>
      <c r="J37" s="444"/>
      <c r="K37" s="444">
        <v>305000</v>
      </c>
    </row>
    <row r="38" spans="1:11" ht="20.100000000000001" customHeight="1" x14ac:dyDescent="0.4">
      <c r="A38" s="300" t="s">
        <v>20</v>
      </c>
      <c r="B38" s="444">
        <v>303000</v>
      </c>
      <c r="C38" s="444"/>
      <c r="D38" s="444"/>
      <c r="E38" s="444"/>
      <c r="F38" s="444"/>
      <c r="G38" s="444"/>
      <c r="H38" s="444"/>
      <c r="I38" s="444"/>
      <c r="J38" s="444"/>
      <c r="K38" s="444">
        <v>303000</v>
      </c>
    </row>
    <row r="39" spans="1:11" ht="20.100000000000001" customHeight="1" x14ac:dyDescent="0.4">
      <c r="A39" s="300" t="s">
        <v>342</v>
      </c>
      <c r="B39" s="444">
        <v>0</v>
      </c>
      <c r="C39" s="444"/>
      <c r="D39" s="444"/>
      <c r="E39" s="444">
        <v>0</v>
      </c>
      <c r="F39" s="444"/>
      <c r="G39" s="444"/>
      <c r="H39" s="444"/>
      <c r="I39" s="444"/>
      <c r="J39" s="444"/>
      <c r="K39" s="444">
        <v>0</v>
      </c>
    </row>
    <row r="40" spans="1:11" ht="20.100000000000001" customHeight="1" x14ac:dyDescent="0.4">
      <c r="A40" s="442" t="s">
        <v>356</v>
      </c>
      <c r="B40" s="444">
        <v>2795000</v>
      </c>
      <c r="C40" s="444">
        <v>2160000</v>
      </c>
      <c r="D40" s="444">
        <v>6912000</v>
      </c>
      <c r="E40" s="444">
        <v>777600</v>
      </c>
      <c r="F40" s="444">
        <v>440000</v>
      </c>
      <c r="G40" s="444">
        <v>432000</v>
      </c>
      <c r="H40" s="444">
        <v>440000</v>
      </c>
      <c r="I40" s="444">
        <v>560000</v>
      </c>
      <c r="J40" s="444">
        <v>32400</v>
      </c>
      <c r="K40" s="444">
        <v>14549000</v>
      </c>
    </row>
    <row r="41" spans="1:11" ht="20.100000000000001" customHeight="1" thickBot="1" x14ac:dyDescent="0.45">
      <c r="A41" s="329" t="s">
        <v>547</v>
      </c>
      <c r="B41" s="198"/>
      <c r="C41" s="198"/>
      <c r="D41" s="198"/>
      <c r="E41" s="198"/>
      <c r="F41" s="198"/>
      <c r="G41" s="198"/>
      <c r="H41" s="198"/>
      <c r="I41" s="198"/>
      <c r="J41" s="198"/>
      <c r="K41" s="325">
        <f>GETPIVOTDATA("現況賃料計",$A$24)*12</f>
        <v>174588000</v>
      </c>
    </row>
    <row r="42" spans="1:11" ht="16.5" thickTop="1" x14ac:dyDescent="0.4"/>
    <row r="43" spans="1:11" ht="24" x14ac:dyDescent="0.4">
      <c r="A43" s="52" t="s">
        <v>548</v>
      </c>
      <c r="B43" s="303"/>
      <c r="C43" s="303"/>
      <c r="D43" s="303"/>
      <c r="E43" s="303"/>
      <c r="F43" s="303"/>
      <c r="G43" s="303"/>
      <c r="H43" s="303"/>
      <c r="I43" s="303"/>
      <c r="J43" s="303"/>
      <c r="K43" s="303"/>
    </row>
    <row r="44" spans="1:11" ht="20.100000000000001" customHeight="1" x14ac:dyDescent="0.4">
      <c r="A44" s="440" t="s">
        <v>366</v>
      </c>
      <c r="B44" s="443" t="s">
        <v>146</v>
      </c>
    </row>
    <row r="45" spans="1:11" ht="20.100000000000001" customHeight="1" x14ac:dyDescent="0.4">
      <c r="A45" s="442" t="s">
        <v>230</v>
      </c>
      <c r="B45" s="446">
        <v>1</v>
      </c>
    </row>
    <row r="46" spans="1:11" ht="20.100000000000001" customHeight="1" x14ac:dyDescent="0.4">
      <c r="A46" s="300" t="s">
        <v>226</v>
      </c>
      <c r="B46" s="446">
        <v>1</v>
      </c>
    </row>
    <row r="47" spans="1:11" ht="20.100000000000001" customHeight="1" x14ac:dyDescent="0.4">
      <c r="A47" s="300" t="s">
        <v>228</v>
      </c>
      <c r="B47" s="446">
        <v>1</v>
      </c>
    </row>
    <row r="48" spans="1:11" ht="20.100000000000001" customHeight="1" x14ac:dyDescent="0.4">
      <c r="A48" s="300" t="s">
        <v>20</v>
      </c>
      <c r="B48" s="446">
        <v>1</v>
      </c>
    </row>
    <row r="49" spans="1:2" ht="20.100000000000001" customHeight="1" x14ac:dyDescent="0.4">
      <c r="A49" s="300" t="s">
        <v>22</v>
      </c>
      <c r="B49" s="446">
        <v>1</v>
      </c>
    </row>
    <row r="50" spans="1:2" ht="20.100000000000001" customHeight="1" x14ac:dyDescent="0.4">
      <c r="A50" s="300" t="s">
        <v>14</v>
      </c>
      <c r="B50" s="446">
        <v>0.93245525160418774</v>
      </c>
    </row>
    <row r="51" spans="1:2" ht="20.100000000000001" customHeight="1" x14ac:dyDescent="0.4">
      <c r="A51" s="300" t="s">
        <v>57</v>
      </c>
      <c r="B51" s="446">
        <v>0.93120055039559679</v>
      </c>
    </row>
    <row r="52" spans="1:2" ht="20.100000000000001" customHeight="1" x14ac:dyDescent="0.4">
      <c r="A52" s="300" t="s">
        <v>538</v>
      </c>
      <c r="B52" s="446">
        <v>0.93120055039559679</v>
      </c>
    </row>
    <row r="53" spans="1:2" ht="20.100000000000001" customHeight="1" x14ac:dyDescent="0.4">
      <c r="A53" s="300" t="s">
        <v>536</v>
      </c>
      <c r="B53" s="446">
        <v>0.93120055039559679</v>
      </c>
    </row>
    <row r="54" spans="1:2" ht="20.100000000000001" customHeight="1" x14ac:dyDescent="0.4">
      <c r="A54" s="300" t="s">
        <v>59</v>
      </c>
      <c r="B54" s="446">
        <v>0.93120055039559679</v>
      </c>
    </row>
    <row r="55" spans="1:2" ht="20.100000000000001" customHeight="1" x14ac:dyDescent="0.4">
      <c r="A55" s="300" t="s">
        <v>55</v>
      </c>
      <c r="B55" s="446">
        <v>0.93120055039559679</v>
      </c>
    </row>
    <row r="56" spans="1:2" ht="20.100000000000001" customHeight="1" x14ac:dyDescent="0.4">
      <c r="A56" s="300" t="s">
        <v>18</v>
      </c>
      <c r="B56" s="446">
        <v>0.93120055039559679</v>
      </c>
    </row>
    <row r="57" spans="1:2" ht="20.100000000000001" customHeight="1" x14ac:dyDescent="0.4">
      <c r="A57" s="300" t="s">
        <v>16</v>
      </c>
      <c r="B57" s="446">
        <v>0.93120055039559679</v>
      </c>
    </row>
    <row r="58" spans="1:2" ht="20.100000000000001" customHeight="1" x14ac:dyDescent="0.4">
      <c r="A58" s="300" t="s">
        <v>342</v>
      </c>
      <c r="B58" s="446">
        <v>0</v>
      </c>
    </row>
    <row r="59" spans="1:2" ht="20.100000000000001" customHeight="1" x14ac:dyDescent="0.4">
      <c r="A59" s="442" t="s">
        <v>356</v>
      </c>
      <c r="B59" s="446">
        <v>0.91739706160539758</v>
      </c>
    </row>
  </sheetData>
  <mergeCells count="1">
    <mergeCell ref="A1:C1"/>
  </mergeCells>
  <phoneticPr fontId="3"/>
  <pageMargins left="0.70866141732283461" right="0.70866141732283461" top="0.74803149606299213" bottom="0.74803149606299213" header="0.31496062992125984" footer="0.31496062992125984"/>
  <pageSetup paperSize="8" scale="64" orientation="portrait" r:id="rId4"/>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290B-D832-41B0-B319-B464E5D58013}">
  <sheetPr>
    <pageSetUpPr fitToPage="1"/>
  </sheetPr>
  <dimension ref="A1:P123"/>
  <sheetViews>
    <sheetView view="pageBreakPreview" zoomScaleNormal="100" zoomScaleSheetLayoutView="100" workbookViewId="0">
      <selection activeCell="N3" sqref="N3:P3"/>
    </sheetView>
  </sheetViews>
  <sheetFormatPr defaultRowHeight="15.75" x14ac:dyDescent="0.4"/>
  <cols>
    <col min="1" max="1" width="9" style="72"/>
    <col min="2" max="2" width="29.625" style="72" customWidth="1"/>
    <col min="3" max="4" width="9" style="72"/>
    <col min="5" max="5" width="13.5" style="72" customWidth="1"/>
    <col min="6" max="6" width="9" style="358"/>
    <col min="7" max="7" width="11.875" style="72" customWidth="1"/>
    <col min="8" max="8" width="14.375" style="72" customWidth="1"/>
    <col min="9" max="9" width="14.125" style="72" customWidth="1"/>
    <col min="10" max="10" width="12.75" style="72" customWidth="1"/>
    <col min="11" max="11" width="13.5" style="72" customWidth="1"/>
    <col min="12" max="12" width="12.125" style="72" customWidth="1"/>
    <col min="13" max="13" width="18.125" style="72" customWidth="1"/>
    <col min="14" max="15" width="14.875" style="358" customWidth="1"/>
    <col min="16" max="16" width="20.5" style="72" customWidth="1"/>
    <col min="17" max="16384" width="9" style="72"/>
  </cols>
  <sheetData>
    <row r="1" spans="1:16" ht="21" x14ac:dyDescent="0.4">
      <c r="A1" s="437" t="s">
        <v>542</v>
      </c>
      <c r="B1" s="437"/>
      <c r="C1" s="437"/>
      <c r="D1" s="333"/>
      <c r="E1" s="334"/>
      <c r="F1" s="335"/>
      <c r="G1" s="336"/>
      <c r="H1" s="337"/>
      <c r="I1" s="337"/>
      <c r="J1" s="337"/>
      <c r="K1" s="337"/>
      <c r="L1" s="337"/>
      <c r="M1" s="337"/>
      <c r="N1" s="335"/>
      <c r="O1" s="335"/>
      <c r="P1" s="338" t="s">
        <v>541</v>
      </c>
    </row>
    <row r="2" spans="1:16" ht="18.75" customHeight="1" x14ac:dyDescent="0.4">
      <c r="A2" s="339"/>
      <c r="B2" s="339"/>
      <c r="C2" s="339"/>
      <c r="D2" s="333"/>
      <c r="E2" s="334"/>
      <c r="F2" s="335"/>
      <c r="G2" s="336"/>
      <c r="H2" s="337"/>
      <c r="I2" s="337"/>
      <c r="J2" s="337"/>
      <c r="K2" s="337"/>
      <c r="L2" s="337"/>
      <c r="M2" s="337"/>
      <c r="N2" s="335"/>
      <c r="O2" s="335"/>
      <c r="P2" s="337"/>
    </row>
    <row r="3" spans="1:16" x14ac:dyDescent="0.4">
      <c r="A3" s="340" t="s">
        <v>12</v>
      </c>
      <c r="B3" s="341" t="s">
        <v>373</v>
      </c>
      <c r="C3" s="342" t="s">
        <v>389</v>
      </c>
      <c r="D3" s="343" t="s">
        <v>390</v>
      </c>
      <c r="E3" s="344" t="s">
        <v>391</v>
      </c>
      <c r="F3" s="345" t="s">
        <v>394</v>
      </c>
      <c r="G3" s="346" t="s">
        <v>392</v>
      </c>
      <c r="H3" s="342" t="s">
        <v>410</v>
      </c>
      <c r="I3" s="347" t="s">
        <v>411</v>
      </c>
      <c r="J3" s="347" t="s">
        <v>412</v>
      </c>
      <c r="K3" s="347" t="s">
        <v>413</v>
      </c>
      <c r="L3" s="347" t="s">
        <v>416</v>
      </c>
      <c r="M3" s="347" t="s">
        <v>426</v>
      </c>
      <c r="N3" s="348" t="s">
        <v>414</v>
      </c>
      <c r="O3" s="348" t="s">
        <v>417</v>
      </c>
      <c r="P3" s="342" t="s">
        <v>393</v>
      </c>
    </row>
    <row r="4" spans="1:16" x14ac:dyDescent="0.4">
      <c r="A4" s="349">
        <v>201</v>
      </c>
      <c r="B4" s="350" t="s">
        <v>14</v>
      </c>
      <c r="C4" s="351">
        <v>1</v>
      </c>
      <c r="D4" s="352">
        <v>101</v>
      </c>
      <c r="E4" s="353">
        <v>20</v>
      </c>
      <c r="F4" s="354">
        <v>801</v>
      </c>
      <c r="G4" s="355" t="str">
        <f t="shared" ref="G4:G35" si="0">VLOOKUP(F4,id_list,2,FALSE)</f>
        <v>住居</v>
      </c>
      <c r="H4" s="355" t="str">
        <f t="shared" ref="H4:H35" si="1">VLOOKUP(F4,id_list,5,FALSE)</f>
        <v>住居</v>
      </c>
      <c r="I4" s="356">
        <v>50000</v>
      </c>
      <c r="J4" s="356">
        <v>3000</v>
      </c>
      <c r="K4" s="356">
        <v>0</v>
      </c>
      <c r="L4" s="356">
        <f>I4+J4+K4</f>
        <v>53000</v>
      </c>
      <c r="M4" s="356">
        <f>L4</f>
        <v>53000</v>
      </c>
      <c r="N4" s="357"/>
      <c r="O4" s="357"/>
      <c r="P4" s="351"/>
    </row>
    <row r="5" spans="1:16" x14ac:dyDescent="0.4">
      <c r="A5" s="349">
        <v>201</v>
      </c>
      <c r="B5" s="350" t="s">
        <v>14</v>
      </c>
      <c r="C5" s="351">
        <v>2</v>
      </c>
      <c r="D5" s="352">
        <v>102</v>
      </c>
      <c r="E5" s="353">
        <v>20</v>
      </c>
      <c r="F5" s="354">
        <v>801</v>
      </c>
      <c r="G5" s="355" t="str">
        <f t="shared" si="0"/>
        <v>住居</v>
      </c>
      <c r="H5" s="355" t="str">
        <f t="shared" si="1"/>
        <v>住居</v>
      </c>
      <c r="I5" s="356">
        <v>50000</v>
      </c>
      <c r="J5" s="356">
        <v>3000</v>
      </c>
      <c r="K5" s="356">
        <v>0</v>
      </c>
      <c r="L5" s="356">
        <f t="shared" ref="L5:L17" si="2">I5+J5+K5</f>
        <v>53000</v>
      </c>
      <c r="M5" s="356">
        <f>L5</f>
        <v>53000</v>
      </c>
      <c r="N5" s="357"/>
      <c r="O5" s="357"/>
      <c r="P5" s="351"/>
    </row>
    <row r="6" spans="1:16" x14ac:dyDescent="0.4">
      <c r="A6" s="349">
        <v>201</v>
      </c>
      <c r="B6" s="350" t="s">
        <v>14</v>
      </c>
      <c r="C6" s="351">
        <v>3</v>
      </c>
      <c r="D6" s="352">
        <v>103</v>
      </c>
      <c r="E6" s="353">
        <v>20</v>
      </c>
      <c r="F6" s="354">
        <v>801</v>
      </c>
      <c r="G6" s="355" t="str">
        <f t="shared" si="0"/>
        <v>住居</v>
      </c>
      <c r="H6" s="355" t="str">
        <f t="shared" si="1"/>
        <v>住居</v>
      </c>
      <c r="I6" s="356">
        <v>0</v>
      </c>
      <c r="J6" s="356">
        <v>0</v>
      </c>
      <c r="K6" s="356">
        <v>0</v>
      </c>
      <c r="L6" s="356">
        <f t="shared" si="2"/>
        <v>0</v>
      </c>
      <c r="M6" s="356">
        <v>60000</v>
      </c>
      <c r="N6" s="357"/>
      <c r="O6" s="357">
        <v>1</v>
      </c>
      <c r="P6" s="351" t="s">
        <v>418</v>
      </c>
    </row>
    <row r="7" spans="1:16" x14ac:dyDescent="0.4">
      <c r="A7" s="349">
        <v>201</v>
      </c>
      <c r="B7" s="350" t="s">
        <v>14</v>
      </c>
      <c r="C7" s="351">
        <v>4</v>
      </c>
      <c r="D7" s="352">
        <v>201</v>
      </c>
      <c r="E7" s="353">
        <v>20</v>
      </c>
      <c r="F7" s="354">
        <v>801</v>
      </c>
      <c r="G7" s="355" t="str">
        <f t="shared" si="0"/>
        <v>住居</v>
      </c>
      <c r="H7" s="355" t="str">
        <f t="shared" si="1"/>
        <v>住居</v>
      </c>
      <c r="I7" s="356">
        <v>0</v>
      </c>
      <c r="J7" s="356">
        <v>0</v>
      </c>
      <c r="K7" s="356">
        <v>0</v>
      </c>
      <c r="L7" s="356">
        <f t="shared" si="2"/>
        <v>0</v>
      </c>
      <c r="M7" s="356">
        <v>60000</v>
      </c>
      <c r="N7" s="357">
        <v>1</v>
      </c>
      <c r="O7" s="357"/>
      <c r="P7" s="351" t="s">
        <v>415</v>
      </c>
    </row>
    <row r="8" spans="1:16" x14ac:dyDescent="0.4">
      <c r="A8" s="349">
        <v>201</v>
      </c>
      <c r="B8" s="350" t="s">
        <v>14</v>
      </c>
      <c r="C8" s="351">
        <v>5</v>
      </c>
      <c r="D8" s="352">
        <v>202</v>
      </c>
      <c r="E8" s="353">
        <v>20</v>
      </c>
      <c r="F8" s="354">
        <v>801</v>
      </c>
      <c r="G8" s="355" t="str">
        <f t="shared" si="0"/>
        <v>住居</v>
      </c>
      <c r="H8" s="355" t="str">
        <f t="shared" si="1"/>
        <v>住居</v>
      </c>
      <c r="I8" s="356">
        <v>50000</v>
      </c>
      <c r="J8" s="356">
        <v>3000</v>
      </c>
      <c r="K8" s="356">
        <v>0</v>
      </c>
      <c r="L8" s="356">
        <f t="shared" si="2"/>
        <v>53000</v>
      </c>
      <c r="M8" s="356">
        <f>L8</f>
        <v>53000</v>
      </c>
      <c r="N8" s="357"/>
      <c r="O8" s="357"/>
      <c r="P8" s="351"/>
    </row>
    <row r="9" spans="1:16" x14ac:dyDescent="0.4">
      <c r="A9" s="349">
        <v>201</v>
      </c>
      <c r="B9" s="350" t="s">
        <v>14</v>
      </c>
      <c r="C9" s="351">
        <v>6</v>
      </c>
      <c r="D9" s="352">
        <v>203</v>
      </c>
      <c r="E9" s="353">
        <v>20</v>
      </c>
      <c r="F9" s="354">
        <v>807</v>
      </c>
      <c r="G9" s="355" t="str">
        <f t="shared" si="0"/>
        <v>倉庫</v>
      </c>
      <c r="H9" s="355" t="str">
        <f t="shared" si="1"/>
        <v>事務所/店舗</v>
      </c>
      <c r="I9" s="356">
        <v>50000</v>
      </c>
      <c r="J9" s="356">
        <v>0</v>
      </c>
      <c r="K9" s="356">
        <v>4000</v>
      </c>
      <c r="L9" s="356">
        <f t="shared" si="2"/>
        <v>54000</v>
      </c>
      <c r="M9" s="356">
        <f t="shared" ref="M9:M18" si="3">L9</f>
        <v>54000</v>
      </c>
      <c r="N9" s="357"/>
      <c r="O9" s="357"/>
      <c r="P9" s="351"/>
    </row>
    <row r="10" spans="1:16" x14ac:dyDescent="0.4">
      <c r="A10" s="349">
        <v>201</v>
      </c>
      <c r="B10" s="350" t="s">
        <v>14</v>
      </c>
      <c r="C10" s="351">
        <v>7</v>
      </c>
      <c r="D10" s="352">
        <v>301</v>
      </c>
      <c r="E10" s="353">
        <v>20</v>
      </c>
      <c r="F10" s="354">
        <v>803</v>
      </c>
      <c r="G10" s="355" t="str">
        <f t="shared" si="0"/>
        <v>店舗</v>
      </c>
      <c r="H10" s="355" t="str">
        <f t="shared" si="1"/>
        <v>事務所/店舗</v>
      </c>
      <c r="I10" s="356">
        <v>800000</v>
      </c>
      <c r="J10" s="356">
        <v>0</v>
      </c>
      <c r="K10" s="356">
        <f>I10*0.08</f>
        <v>64000</v>
      </c>
      <c r="L10" s="356">
        <f t="shared" si="2"/>
        <v>864000</v>
      </c>
      <c r="M10" s="356">
        <f t="shared" si="3"/>
        <v>864000</v>
      </c>
      <c r="N10" s="357"/>
      <c r="O10" s="357"/>
      <c r="P10" s="351"/>
    </row>
    <row r="11" spans="1:16" x14ac:dyDescent="0.4">
      <c r="A11" s="349">
        <v>201</v>
      </c>
      <c r="B11" s="350" t="s">
        <v>14</v>
      </c>
      <c r="C11" s="351">
        <v>8</v>
      </c>
      <c r="D11" s="352">
        <v>302</v>
      </c>
      <c r="E11" s="353">
        <v>20</v>
      </c>
      <c r="F11" s="354">
        <v>802</v>
      </c>
      <c r="G11" s="355" t="str">
        <f t="shared" si="0"/>
        <v>事務所</v>
      </c>
      <c r="H11" s="355" t="str">
        <f t="shared" si="1"/>
        <v>事務所/店舗</v>
      </c>
      <c r="I11" s="356">
        <v>250000</v>
      </c>
      <c r="J11" s="356">
        <v>0</v>
      </c>
      <c r="K11" s="356">
        <f>I11*0.08</f>
        <v>20000</v>
      </c>
      <c r="L11" s="356">
        <f t="shared" si="2"/>
        <v>270000</v>
      </c>
      <c r="M11" s="356">
        <f t="shared" si="3"/>
        <v>270000</v>
      </c>
      <c r="N11" s="357"/>
      <c r="O11" s="357"/>
      <c r="P11" s="351"/>
    </row>
    <row r="12" spans="1:16" x14ac:dyDescent="0.4">
      <c r="A12" s="349">
        <v>201</v>
      </c>
      <c r="B12" s="350" t="s">
        <v>14</v>
      </c>
      <c r="C12" s="351">
        <v>9</v>
      </c>
      <c r="D12" s="352" t="s">
        <v>424</v>
      </c>
      <c r="E12" s="353">
        <v>20</v>
      </c>
      <c r="F12" s="354">
        <v>808</v>
      </c>
      <c r="G12" s="355" t="str">
        <f t="shared" si="0"/>
        <v>民泊</v>
      </c>
      <c r="H12" s="355" t="str">
        <f t="shared" si="1"/>
        <v>オペレーショナル</v>
      </c>
      <c r="I12" s="356">
        <v>52000</v>
      </c>
      <c r="J12" s="356">
        <v>3000</v>
      </c>
      <c r="K12" s="356">
        <v>0</v>
      </c>
      <c r="L12" s="356">
        <f t="shared" si="2"/>
        <v>55000</v>
      </c>
      <c r="M12" s="356">
        <f t="shared" si="3"/>
        <v>55000</v>
      </c>
      <c r="N12" s="357"/>
      <c r="O12" s="357"/>
      <c r="P12" s="351"/>
    </row>
    <row r="13" spans="1:16" x14ac:dyDescent="0.4">
      <c r="A13" s="349">
        <v>201</v>
      </c>
      <c r="B13" s="350" t="s">
        <v>14</v>
      </c>
      <c r="C13" s="351">
        <v>10</v>
      </c>
      <c r="D13" s="352" t="s">
        <v>425</v>
      </c>
      <c r="E13" s="353">
        <v>20</v>
      </c>
      <c r="F13" s="354">
        <v>809</v>
      </c>
      <c r="G13" s="355" t="str">
        <f t="shared" si="0"/>
        <v>シェアハウス</v>
      </c>
      <c r="H13" s="355" t="str">
        <f t="shared" si="1"/>
        <v>オペレーショナル</v>
      </c>
      <c r="I13" s="356">
        <v>52000</v>
      </c>
      <c r="J13" s="356">
        <v>3000</v>
      </c>
      <c r="K13" s="356">
        <v>0</v>
      </c>
      <c r="L13" s="356">
        <f t="shared" si="2"/>
        <v>55000</v>
      </c>
      <c r="M13" s="356">
        <f t="shared" si="3"/>
        <v>55000</v>
      </c>
      <c r="N13" s="357"/>
      <c r="O13" s="357"/>
      <c r="P13" s="351"/>
    </row>
    <row r="14" spans="1:16" x14ac:dyDescent="0.4">
      <c r="A14" s="349">
        <v>201</v>
      </c>
      <c r="B14" s="350" t="s">
        <v>14</v>
      </c>
      <c r="C14" s="351">
        <v>11</v>
      </c>
      <c r="D14" s="352" t="s">
        <v>419</v>
      </c>
      <c r="E14" s="353" t="s">
        <v>421</v>
      </c>
      <c r="F14" s="354">
        <v>805</v>
      </c>
      <c r="G14" s="355" t="str">
        <f t="shared" si="0"/>
        <v>アンテナ</v>
      </c>
      <c r="H14" s="355" t="str">
        <f t="shared" si="1"/>
        <v>その他</v>
      </c>
      <c r="I14" s="356">
        <v>67000</v>
      </c>
      <c r="J14" s="356">
        <v>3000</v>
      </c>
      <c r="K14" s="356">
        <v>0</v>
      </c>
      <c r="L14" s="356">
        <f t="shared" si="2"/>
        <v>70000</v>
      </c>
      <c r="M14" s="356">
        <f t="shared" si="3"/>
        <v>70000</v>
      </c>
      <c r="N14" s="357"/>
      <c r="O14" s="357"/>
      <c r="P14" s="351"/>
    </row>
    <row r="15" spans="1:16" x14ac:dyDescent="0.4">
      <c r="A15" s="349">
        <v>201</v>
      </c>
      <c r="B15" s="350" t="s">
        <v>14</v>
      </c>
      <c r="C15" s="351">
        <v>12</v>
      </c>
      <c r="D15" s="352" t="s">
        <v>420</v>
      </c>
      <c r="E15" s="353" t="s">
        <v>421</v>
      </c>
      <c r="F15" s="354">
        <v>804</v>
      </c>
      <c r="G15" s="355" t="str">
        <f t="shared" si="0"/>
        <v>駐車場</v>
      </c>
      <c r="H15" s="355" t="str">
        <f t="shared" si="1"/>
        <v>駐車場</v>
      </c>
      <c r="I15" s="356">
        <v>30000</v>
      </c>
      <c r="J15" s="356">
        <v>0</v>
      </c>
      <c r="K15" s="356">
        <v>2400</v>
      </c>
      <c r="L15" s="356">
        <f t="shared" si="2"/>
        <v>32400</v>
      </c>
      <c r="M15" s="356">
        <f t="shared" si="3"/>
        <v>32400</v>
      </c>
      <c r="N15" s="357"/>
      <c r="O15" s="357"/>
      <c r="P15" s="351"/>
    </row>
    <row r="16" spans="1:16" x14ac:dyDescent="0.4">
      <c r="A16" s="349">
        <v>201</v>
      </c>
      <c r="B16" s="350" t="s">
        <v>14</v>
      </c>
      <c r="C16" s="351">
        <v>13</v>
      </c>
      <c r="D16" s="352" t="s">
        <v>422</v>
      </c>
      <c r="E16" s="353" t="s">
        <v>421</v>
      </c>
      <c r="F16" s="354">
        <v>804</v>
      </c>
      <c r="G16" s="355" t="str">
        <f t="shared" si="0"/>
        <v>駐車場</v>
      </c>
      <c r="H16" s="355" t="str">
        <f t="shared" si="1"/>
        <v>駐車場</v>
      </c>
      <c r="I16" s="356">
        <v>30000</v>
      </c>
      <c r="J16" s="356">
        <v>0</v>
      </c>
      <c r="K16" s="356">
        <v>2400</v>
      </c>
      <c r="L16" s="356">
        <f t="shared" si="2"/>
        <v>32400</v>
      </c>
      <c r="M16" s="356">
        <f t="shared" si="3"/>
        <v>32400</v>
      </c>
      <c r="N16" s="357"/>
      <c r="O16" s="357"/>
      <c r="P16" s="351"/>
    </row>
    <row r="17" spans="1:16" x14ac:dyDescent="0.4">
      <c r="A17" s="349">
        <v>201</v>
      </c>
      <c r="B17" s="350" t="s">
        <v>14</v>
      </c>
      <c r="C17" s="351">
        <v>14</v>
      </c>
      <c r="D17" s="352" t="s">
        <v>423</v>
      </c>
      <c r="E17" s="353" t="s">
        <v>421</v>
      </c>
      <c r="F17" s="354">
        <v>804</v>
      </c>
      <c r="G17" s="355" t="str">
        <f t="shared" si="0"/>
        <v>駐車場</v>
      </c>
      <c r="H17" s="355" t="str">
        <f t="shared" si="1"/>
        <v>駐車場</v>
      </c>
      <c r="I17" s="356">
        <v>30000</v>
      </c>
      <c r="J17" s="356">
        <v>0</v>
      </c>
      <c r="K17" s="356">
        <v>2400</v>
      </c>
      <c r="L17" s="356">
        <f t="shared" si="2"/>
        <v>32400</v>
      </c>
      <c r="M17" s="356">
        <f t="shared" si="3"/>
        <v>32400</v>
      </c>
      <c r="N17" s="357"/>
      <c r="O17" s="357"/>
      <c r="P17" s="351"/>
    </row>
    <row r="18" spans="1:16" x14ac:dyDescent="0.4">
      <c r="A18" s="349">
        <v>201</v>
      </c>
      <c r="B18" s="350" t="s">
        <v>14</v>
      </c>
      <c r="C18" s="351">
        <v>15</v>
      </c>
      <c r="D18" s="352" t="s">
        <v>544</v>
      </c>
      <c r="E18" s="353" t="s">
        <v>421</v>
      </c>
      <c r="F18" s="354">
        <v>806</v>
      </c>
      <c r="G18" s="355" t="str">
        <f t="shared" si="0"/>
        <v>自販機</v>
      </c>
      <c r="H18" s="355" t="str">
        <f t="shared" si="1"/>
        <v>その他</v>
      </c>
      <c r="I18" s="356">
        <v>30000</v>
      </c>
      <c r="J18" s="356">
        <v>0</v>
      </c>
      <c r="K18" s="356">
        <v>2400</v>
      </c>
      <c r="L18" s="356">
        <f t="shared" ref="L18" si="4">I18+J18+K18</f>
        <v>32400</v>
      </c>
      <c r="M18" s="356">
        <f t="shared" si="3"/>
        <v>32400</v>
      </c>
      <c r="N18" s="357"/>
      <c r="O18" s="357"/>
      <c r="P18" s="351"/>
    </row>
    <row r="19" spans="1:16" x14ac:dyDescent="0.4">
      <c r="A19" s="349">
        <v>202</v>
      </c>
      <c r="B19" s="350" t="str">
        <f t="shared" ref="B19:B68" si="5">VLOOKUP(A19,id_list,2,FALSE)</f>
        <v>大東京建託アパート池袋</v>
      </c>
      <c r="C19" s="351">
        <v>1</v>
      </c>
      <c r="D19" s="352">
        <v>101</v>
      </c>
      <c r="E19" s="353">
        <v>20</v>
      </c>
      <c r="F19" s="354">
        <v>801</v>
      </c>
      <c r="G19" s="355" t="str">
        <f t="shared" si="0"/>
        <v>住居</v>
      </c>
      <c r="H19" s="355" t="str">
        <f t="shared" si="1"/>
        <v>住居</v>
      </c>
      <c r="I19" s="356">
        <v>50000</v>
      </c>
      <c r="J19" s="356">
        <v>3000</v>
      </c>
      <c r="K19" s="356">
        <v>0</v>
      </c>
      <c r="L19" s="356">
        <f>I19+J19+K19</f>
        <v>53000</v>
      </c>
      <c r="M19" s="356">
        <f>L19</f>
        <v>53000</v>
      </c>
      <c r="N19" s="357"/>
      <c r="O19" s="357"/>
      <c r="P19" s="351"/>
    </row>
    <row r="20" spans="1:16" x14ac:dyDescent="0.4">
      <c r="A20" s="349">
        <v>202</v>
      </c>
      <c r="B20" s="350" t="str">
        <f t="shared" si="5"/>
        <v>大東京建託アパート池袋</v>
      </c>
      <c r="C20" s="351">
        <v>2</v>
      </c>
      <c r="D20" s="352">
        <v>102</v>
      </c>
      <c r="E20" s="353">
        <v>20</v>
      </c>
      <c r="F20" s="354">
        <v>801</v>
      </c>
      <c r="G20" s="355" t="str">
        <f t="shared" si="0"/>
        <v>住居</v>
      </c>
      <c r="H20" s="355" t="str">
        <f t="shared" si="1"/>
        <v>住居</v>
      </c>
      <c r="I20" s="356">
        <v>50000</v>
      </c>
      <c r="J20" s="356">
        <v>3000</v>
      </c>
      <c r="K20" s="356">
        <v>0</v>
      </c>
      <c r="L20" s="356">
        <f t="shared" ref="L20:L32" si="6">I20+J20+K20</f>
        <v>53000</v>
      </c>
      <c r="M20" s="356">
        <f>L20</f>
        <v>53000</v>
      </c>
      <c r="N20" s="357"/>
      <c r="O20" s="357"/>
      <c r="P20" s="351"/>
    </row>
    <row r="21" spans="1:16" x14ac:dyDescent="0.4">
      <c r="A21" s="349">
        <v>202</v>
      </c>
      <c r="B21" s="350" t="str">
        <f t="shared" si="5"/>
        <v>大東京建託アパート池袋</v>
      </c>
      <c r="C21" s="351">
        <v>3</v>
      </c>
      <c r="D21" s="352">
        <v>103</v>
      </c>
      <c r="E21" s="353">
        <v>20</v>
      </c>
      <c r="F21" s="354">
        <v>801</v>
      </c>
      <c r="G21" s="355" t="str">
        <f t="shared" si="0"/>
        <v>住居</v>
      </c>
      <c r="H21" s="355" t="str">
        <f t="shared" si="1"/>
        <v>住居</v>
      </c>
      <c r="I21" s="356">
        <v>0</v>
      </c>
      <c r="J21" s="356">
        <v>0</v>
      </c>
      <c r="K21" s="356">
        <v>0</v>
      </c>
      <c r="L21" s="356">
        <f t="shared" si="6"/>
        <v>0</v>
      </c>
      <c r="M21" s="356">
        <v>60000</v>
      </c>
      <c r="N21" s="357">
        <v>1</v>
      </c>
      <c r="O21" s="357"/>
      <c r="P21" s="351" t="s">
        <v>415</v>
      </c>
    </row>
    <row r="22" spans="1:16" x14ac:dyDescent="0.4">
      <c r="A22" s="349">
        <v>202</v>
      </c>
      <c r="B22" s="350" t="str">
        <f t="shared" si="5"/>
        <v>大東京建託アパート池袋</v>
      </c>
      <c r="C22" s="351">
        <v>4</v>
      </c>
      <c r="D22" s="352">
        <v>201</v>
      </c>
      <c r="E22" s="353">
        <v>20</v>
      </c>
      <c r="F22" s="354">
        <v>801</v>
      </c>
      <c r="G22" s="355" t="str">
        <f t="shared" si="0"/>
        <v>住居</v>
      </c>
      <c r="H22" s="355" t="str">
        <f t="shared" si="1"/>
        <v>住居</v>
      </c>
      <c r="I22" s="356">
        <v>0</v>
      </c>
      <c r="J22" s="356">
        <v>0</v>
      </c>
      <c r="K22" s="356">
        <v>0</v>
      </c>
      <c r="L22" s="356">
        <f t="shared" si="6"/>
        <v>0</v>
      </c>
      <c r="M22" s="356">
        <v>60000</v>
      </c>
      <c r="N22" s="357">
        <v>1</v>
      </c>
      <c r="O22" s="357"/>
      <c r="P22" s="351" t="s">
        <v>415</v>
      </c>
    </row>
    <row r="23" spans="1:16" x14ac:dyDescent="0.4">
      <c r="A23" s="349">
        <v>202</v>
      </c>
      <c r="B23" s="350" t="str">
        <f t="shared" si="5"/>
        <v>大東京建託アパート池袋</v>
      </c>
      <c r="C23" s="351">
        <v>5</v>
      </c>
      <c r="D23" s="352">
        <v>202</v>
      </c>
      <c r="E23" s="353">
        <v>20</v>
      </c>
      <c r="F23" s="354">
        <v>801</v>
      </c>
      <c r="G23" s="355" t="str">
        <f t="shared" si="0"/>
        <v>住居</v>
      </c>
      <c r="H23" s="355" t="str">
        <f t="shared" si="1"/>
        <v>住居</v>
      </c>
      <c r="I23" s="356">
        <v>50000</v>
      </c>
      <c r="J23" s="356">
        <v>3000</v>
      </c>
      <c r="K23" s="356">
        <v>0</v>
      </c>
      <c r="L23" s="356">
        <f t="shared" si="6"/>
        <v>53000</v>
      </c>
      <c r="M23" s="356">
        <f>L23</f>
        <v>53000</v>
      </c>
      <c r="N23" s="357"/>
      <c r="O23" s="357"/>
      <c r="P23" s="351"/>
    </row>
    <row r="24" spans="1:16" x14ac:dyDescent="0.4">
      <c r="A24" s="349">
        <v>202</v>
      </c>
      <c r="B24" s="350" t="str">
        <f t="shared" si="5"/>
        <v>大東京建託アパート池袋</v>
      </c>
      <c r="C24" s="351">
        <v>6</v>
      </c>
      <c r="D24" s="352">
        <v>203</v>
      </c>
      <c r="E24" s="353">
        <v>20</v>
      </c>
      <c r="F24" s="354">
        <v>807</v>
      </c>
      <c r="G24" s="355" t="str">
        <f t="shared" si="0"/>
        <v>倉庫</v>
      </c>
      <c r="H24" s="355" t="str">
        <f t="shared" si="1"/>
        <v>事務所/店舗</v>
      </c>
      <c r="I24" s="356">
        <v>50000</v>
      </c>
      <c r="J24" s="356">
        <v>0</v>
      </c>
      <c r="K24" s="356">
        <v>4000</v>
      </c>
      <c r="L24" s="356">
        <f t="shared" si="6"/>
        <v>54000</v>
      </c>
      <c r="M24" s="356">
        <f t="shared" ref="M24:M32" si="7">L24</f>
        <v>54000</v>
      </c>
      <c r="N24" s="357"/>
      <c r="O24" s="357"/>
      <c r="P24" s="351"/>
    </row>
    <row r="25" spans="1:16" x14ac:dyDescent="0.4">
      <c r="A25" s="349">
        <v>202</v>
      </c>
      <c r="B25" s="350" t="str">
        <f t="shared" si="5"/>
        <v>大東京建託アパート池袋</v>
      </c>
      <c r="C25" s="351">
        <v>7</v>
      </c>
      <c r="D25" s="352">
        <v>301</v>
      </c>
      <c r="E25" s="353">
        <v>20</v>
      </c>
      <c r="F25" s="354">
        <v>803</v>
      </c>
      <c r="G25" s="355" t="str">
        <f t="shared" si="0"/>
        <v>店舗</v>
      </c>
      <c r="H25" s="355" t="str">
        <f t="shared" si="1"/>
        <v>事務所/店舗</v>
      </c>
      <c r="I25" s="356">
        <v>800000</v>
      </c>
      <c r="J25" s="356">
        <v>0</v>
      </c>
      <c r="K25" s="356">
        <f>I25*0.08</f>
        <v>64000</v>
      </c>
      <c r="L25" s="356">
        <f t="shared" si="6"/>
        <v>864000</v>
      </c>
      <c r="M25" s="356">
        <f t="shared" si="7"/>
        <v>864000</v>
      </c>
      <c r="N25" s="357"/>
      <c r="O25" s="357"/>
      <c r="P25" s="351"/>
    </row>
    <row r="26" spans="1:16" x14ac:dyDescent="0.4">
      <c r="A26" s="349">
        <v>202</v>
      </c>
      <c r="B26" s="350" t="str">
        <f t="shared" si="5"/>
        <v>大東京建託アパート池袋</v>
      </c>
      <c r="C26" s="351">
        <v>8</v>
      </c>
      <c r="D26" s="352">
        <v>302</v>
      </c>
      <c r="E26" s="353">
        <v>20</v>
      </c>
      <c r="F26" s="354">
        <v>802</v>
      </c>
      <c r="G26" s="355" t="str">
        <f t="shared" si="0"/>
        <v>事務所</v>
      </c>
      <c r="H26" s="355" t="str">
        <f t="shared" si="1"/>
        <v>事務所/店舗</v>
      </c>
      <c r="I26" s="356">
        <v>250000</v>
      </c>
      <c r="J26" s="356">
        <v>0</v>
      </c>
      <c r="K26" s="356">
        <f>I26*0.08</f>
        <v>20000</v>
      </c>
      <c r="L26" s="356">
        <f t="shared" si="6"/>
        <v>270000</v>
      </c>
      <c r="M26" s="356">
        <f t="shared" si="7"/>
        <v>270000</v>
      </c>
      <c r="N26" s="357"/>
      <c r="O26" s="357"/>
      <c r="P26" s="351"/>
    </row>
    <row r="27" spans="1:16" x14ac:dyDescent="0.4">
      <c r="A27" s="349">
        <v>202</v>
      </c>
      <c r="B27" s="350" t="str">
        <f t="shared" si="5"/>
        <v>大東京建託アパート池袋</v>
      </c>
      <c r="C27" s="351">
        <v>9</v>
      </c>
      <c r="D27" s="352" t="s">
        <v>424</v>
      </c>
      <c r="E27" s="353">
        <v>20</v>
      </c>
      <c r="F27" s="354">
        <v>808</v>
      </c>
      <c r="G27" s="355" t="str">
        <f t="shared" si="0"/>
        <v>民泊</v>
      </c>
      <c r="H27" s="355" t="str">
        <f t="shared" si="1"/>
        <v>オペレーショナル</v>
      </c>
      <c r="I27" s="356">
        <v>52000</v>
      </c>
      <c r="J27" s="356">
        <v>3000</v>
      </c>
      <c r="K27" s="356">
        <v>0</v>
      </c>
      <c r="L27" s="356">
        <f t="shared" si="6"/>
        <v>55000</v>
      </c>
      <c r="M27" s="356">
        <f t="shared" si="7"/>
        <v>55000</v>
      </c>
      <c r="N27" s="357"/>
      <c r="O27" s="357"/>
      <c r="P27" s="351"/>
    </row>
    <row r="28" spans="1:16" x14ac:dyDescent="0.4">
      <c r="A28" s="349">
        <v>202</v>
      </c>
      <c r="B28" s="350" t="str">
        <f t="shared" si="5"/>
        <v>大東京建託アパート池袋</v>
      </c>
      <c r="C28" s="351">
        <v>10</v>
      </c>
      <c r="D28" s="352" t="s">
        <v>425</v>
      </c>
      <c r="E28" s="353">
        <v>20</v>
      </c>
      <c r="F28" s="354">
        <v>809</v>
      </c>
      <c r="G28" s="355" t="str">
        <f t="shared" si="0"/>
        <v>シェアハウス</v>
      </c>
      <c r="H28" s="355" t="str">
        <f t="shared" si="1"/>
        <v>オペレーショナル</v>
      </c>
      <c r="I28" s="356">
        <v>52000</v>
      </c>
      <c r="J28" s="356">
        <v>3000</v>
      </c>
      <c r="K28" s="356">
        <v>0</v>
      </c>
      <c r="L28" s="356">
        <f t="shared" si="6"/>
        <v>55000</v>
      </c>
      <c r="M28" s="356">
        <f t="shared" si="7"/>
        <v>55000</v>
      </c>
      <c r="N28" s="357"/>
      <c r="O28" s="357"/>
      <c r="P28" s="351"/>
    </row>
    <row r="29" spans="1:16" x14ac:dyDescent="0.4">
      <c r="A29" s="349">
        <v>202</v>
      </c>
      <c r="B29" s="350" t="str">
        <f t="shared" si="5"/>
        <v>大東京建託アパート池袋</v>
      </c>
      <c r="C29" s="351">
        <v>11</v>
      </c>
      <c r="D29" s="352" t="s">
        <v>419</v>
      </c>
      <c r="E29" s="353" t="s">
        <v>421</v>
      </c>
      <c r="F29" s="354">
        <v>805</v>
      </c>
      <c r="G29" s="355" t="str">
        <f t="shared" si="0"/>
        <v>アンテナ</v>
      </c>
      <c r="H29" s="355" t="str">
        <f t="shared" si="1"/>
        <v>その他</v>
      </c>
      <c r="I29" s="356">
        <v>67000</v>
      </c>
      <c r="J29" s="356">
        <v>3000</v>
      </c>
      <c r="K29" s="356">
        <v>0</v>
      </c>
      <c r="L29" s="356">
        <f t="shared" si="6"/>
        <v>70000</v>
      </c>
      <c r="M29" s="356">
        <f t="shared" si="7"/>
        <v>70000</v>
      </c>
      <c r="N29" s="357"/>
      <c r="O29" s="357"/>
      <c r="P29" s="351"/>
    </row>
    <row r="30" spans="1:16" x14ac:dyDescent="0.4">
      <c r="A30" s="349">
        <v>202</v>
      </c>
      <c r="B30" s="350" t="str">
        <f t="shared" si="5"/>
        <v>大東京建託アパート池袋</v>
      </c>
      <c r="C30" s="351">
        <v>12</v>
      </c>
      <c r="D30" s="352" t="s">
        <v>420</v>
      </c>
      <c r="E30" s="353" t="s">
        <v>421</v>
      </c>
      <c r="F30" s="354">
        <v>804</v>
      </c>
      <c r="G30" s="355" t="str">
        <f t="shared" si="0"/>
        <v>駐車場</v>
      </c>
      <c r="H30" s="355" t="str">
        <f t="shared" si="1"/>
        <v>駐車場</v>
      </c>
      <c r="I30" s="356">
        <v>30000</v>
      </c>
      <c r="J30" s="356">
        <v>0</v>
      </c>
      <c r="K30" s="356">
        <v>2400</v>
      </c>
      <c r="L30" s="356">
        <f t="shared" si="6"/>
        <v>32400</v>
      </c>
      <c r="M30" s="356">
        <f t="shared" si="7"/>
        <v>32400</v>
      </c>
      <c r="N30" s="357"/>
      <c r="O30" s="357"/>
      <c r="P30" s="351"/>
    </row>
    <row r="31" spans="1:16" x14ac:dyDescent="0.4">
      <c r="A31" s="349">
        <v>202</v>
      </c>
      <c r="B31" s="350" t="str">
        <f t="shared" si="5"/>
        <v>大東京建託アパート池袋</v>
      </c>
      <c r="C31" s="351">
        <v>13</v>
      </c>
      <c r="D31" s="352" t="s">
        <v>422</v>
      </c>
      <c r="E31" s="353" t="s">
        <v>421</v>
      </c>
      <c r="F31" s="354">
        <v>804</v>
      </c>
      <c r="G31" s="355" t="str">
        <f t="shared" si="0"/>
        <v>駐車場</v>
      </c>
      <c r="H31" s="355" t="str">
        <f t="shared" si="1"/>
        <v>駐車場</v>
      </c>
      <c r="I31" s="356">
        <v>30000</v>
      </c>
      <c r="J31" s="356">
        <v>0</v>
      </c>
      <c r="K31" s="356">
        <v>2400</v>
      </c>
      <c r="L31" s="356">
        <f t="shared" si="6"/>
        <v>32400</v>
      </c>
      <c r="M31" s="356">
        <f t="shared" si="7"/>
        <v>32400</v>
      </c>
      <c r="N31" s="357"/>
      <c r="O31" s="357"/>
      <c r="P31" s="351"/>
    </row>
    <row r="32" spans="1:16" x14ac:dyDescent="0.4">
      <c r="A32" s="349">
        <v>202</v>
      </c>
      <c r="B32" s="350" t="str">
        <f t="shared" si="5"/>
        <v>大東京建託アパート池袋</v>
      </c>
      <c r="C32" s="351">
        <v>14</v>
      </c>
      <c r="D32" s="352" t="s">
        <v>423</v>
      </c>
      <c r="E32" s="353" t="s">
        <v>421</v>
      </c>
      <c r="F32" s="354">
        <v>804</v>
      </c>
      <c r="G32" s="355" t="str">
        <f t="shared" si="0"/>
        <v>駐車場</v>
      </c>
      <c r="H32" s="355" t="str">
        <f t="shared" si="1"/>
        <v>駐車場</v>
      </c>
      <c r="I32" s="356">
        <v>30000</v>
      </c>
      <c r="J32" s="356">
        <v>0</v>
      </c>
      <c r="K32" s="356">
        <v>2400</v>
      </c>
      <c r="L32" s="356">
        <f t="shared" si="6"/>
        <v>32400</v>
      </c>
      <c r="M32" s="356">
        <f t="shared" si="7"/>
        <v>32400</v>
      </c>
      <c r="N32" s="357"/>
      <c r="O32" s="357"/>
      <c r="P32" s="351"/>
    </row>
    <row r="33" spans="1:16" x14ac:dyDescent="0.4">
      <c r="A33" s="349">
        <v>203</v>
      </c>
      <c r="B33" s="350" t="str">
        <f t="shared" si="5"/>
        <v>大東京建託アパート目白</v>
      </c>
      <c r="C33" s="351">
        <v>1</v>
      </c>
      <c r="D33" s="352">
        <v>101</v>
      </c>
      <c r="E33" s="353">
        <v>20</v>
      </c>
      <c r="F33" s="354">
        <v>801</v>
      </c>
      <c r="G33" s="355" t="str">
        <f t="shared" si="0"/>
        <v>住居</v>
      </c>
      <c r="H33" s="355" t="str">
        <f t="shared" si="1"/>
        <v>住居</v>
      </c>
      <c r="I33" s="356">
        <v>50000</v>
      </c>
      <c r="J33" s="356">
        <v>3000</v>
      </c>
      <c r="K33" s="356">
        <v>0</v>
      </c>
      <c r="L33" s="356">
        <f>I33+J33+K33</f>
        <v>53000</v>
      </c>
      <c r="M33" s="356">
        <f>L33</f>
        <v>53000</v>
      </c>
      <c r="N33" s="357"/>
      <c r="O33" s="357"/>
      <c r="P33" s="351"/>
    </row>
    <row r="34" spans="1:16" x14ac:dyDescent="0.4">
      <c r="A34" s="349">
        <v>203</v>
      </c>
      <c r="B34" s="350" t="str">
        <f t="shared" si="5"/>
        <v>大東京建託アパート目白</v>
      </c>
      <c r="C34" s="351">
        <v>2</v>
      </c>
      <c r="D34" s="352">
        <v>102</v>
      </c>
      <c r="E34" s="353">
        <v>20</v>
      </c>
      <c r="F34" s="354">
        <v>801</v>
      </c>
      <c r="G34" s="355" t="str">
        <f t="shared" si="0"/>
        <v>住居</v>
      </c>
      <c r="H34" s="355" t="str">
        <f t="shared" si="1"/>
        <v>住居</v>
      </c>
      <c r="I34" s="356">
        <v>50000</v>
      </c>
      <c r="J34" s="356">
        <v>3000</v>
      </c>
      <c r="K34" s="356">
        <v>0</v>
      </c>
      <c r="L34" s="356">
        <f t="shared" ref="L34:L46" si="8">I34+J34+K34</f>
        <v>53000</v>
      </c>
      <c r="M34" s="356">
        <f>L34</f>
        <v>53000</v>
      </c>
      <c r="N34" s="357"/>
      <c r="O34" s="357"/>
      <c r="P34" s="351"/>
    </row>
    <row r="35" spans="1:16" x14ac:dyDescent="0.4">
      <c r="A35" s="349">
        <v>203</v>
      </c>
      <c r="B35" s="350" t="str">
        <f t="shared" si="5"/>
        <v>大東京建託アパート目白</v>
      </c>
      <c r="C35" s="351">
        <v>3</v>
      </c>
      <c r="D35" s="352">
        <v>103</v>
      </c>
      <c r="E35" s="353">
        <v>20</v>
      </c>
      <c r="F35" s="354">
        <v>801</v>
      </c>
      <c r="G35" s="355" t="str">
        <f t="shared" si="0"/>
        <v>住居</v>
      </c>
      <c r="H35" s="355" t="str">
        <f t="shared" si="1"/>
        <v>住居</v>
      </c>
      <c r="I35" s="356">
        <v>0</v>
      </c>
      <c r="J35" s="356">
        <v>0</v>
      </c>
      <c r="K35" s="356">
        <v>0</v>
      </c>
      <c r="L35" s="356">
        <f t="shared" si="8"/>
        <v>0</v>
      </c>
      <c r="M35" s="356">
        <v>60000</v>
      </c>
      <c r="N35" s="357">
        <v>1</v>
      </c>
      <c r="O35" s="357"/>
      <c r="P35" s="351" t="s">
        <v>415</v>
      </c>
    </row>
    <row r="36" spans="1:16" x14ac:dyDescent="0.4">
      <c r="A36" s="349">
        <v>203</v>
      </c>
      <c r="B36" s="350" t="str">
        <f t="shared" si="5"/>
        <v>大東京建託アパート目白</v>
      </c>
      <c r="C36" s="351">
        <v>4</v>
      </c>
      <c r="D36" s="352">
        <v>201</v>
      </c>
      <c r="E36" s="353">
        <v>20</v>
      </c>
      <c r="F36" s="354">
        <v>801</v>
      </c>
      <c r="G36" s="355" t="str">
        <f t="shared" ref="G36:G67" si="9">VLOOKUP(F36,id_list,2,FALSE)</f>
        <v>住居</v>
      </c>
      <c r="H36" s="355" t="str">
        <f t="shared" ref="H36:H67" si="10">VLOOKUP(F36,id_list,5,FALSE)</f>
        <v>住居</v>
      </c>
      <c r="I36" s="356">
        <v>0</v>
      </c>
      <c r="J36" s="356">
        <v>0</v>
      </c>
      <c r="K36" s="356">
        <v>0</v>
      </c>
      <c r="L36" s="356">
        <f t="shared" si="8"/>
        <v>0</v>
      </c>
      <c r="M36" s="356">
        <v>60000</v>
      </c>
      <c r="N36" s="357">
        <v>1</v>
      </c>
      <c r="O36" s="357"/>
      <c r="P36" s="351" t="s">
        <v>415</v>
      </c>
    </row>
    <row r="37" spans="1:16" x14ac:dyDescent="0.4">
      <c r="A37" s="349">
        <v>203</v>
      </c>
      <c r="B37" s="350" t="str">
        <f t="shared" si="5"/>
        <v>大東京建託アパート目白</v>
      </c>
      <c r="C37" s="351">
        <v>5</v>
      </c>
      <c r="D37" s="352">
        <v>202</v>
      </c>
      <c r="E37" s="353">
        <v>20</v>
      </c>
      <c r="F37" s="354">
        <v>801</v>
      </c>
      <c r="G37" s="355" t="str">
        <f t="shared" si="9"/>
        <v>住居</v>
      </c>
      <c r="H37" s="355" t="str">
        <f t="shared" si="10"/>
        <v>住居</v>
      </c>
      <c r="I37" s="356">
        <v>50000</v>
      </c>
      <c r="J37" s="356">
        <v>3000</v>
      </c>
      <c r="K37" s="356">
        <v>0</v>
      </c>
      <c r="L37" s="356">
        <f t="shared" si="8"/>
        <v>53000</v>
      </c>
      <c r="M37" s="356">
        <f>L37</f>
        <v>53000</v>
      </c>
      <c r="N37" s="357"/>
      <c r="O37" s="357"/>
      <c r="P37" s="351"/>
    </row>
    <row r="38" spans="1:16" x14ac:dyDescent="0.4">
      <c r="A38" s="349">
        <v>203</v>
      </c>
      <c r="B38" s="350" t="str">
        <f t="shared" si="5"/>
        <v>大東京建託アパート目白</v>
      </c>
      <c r="C38" s="351">
        <v>6</v>
      </c>
      <c r="D38" s="352">
        <v>203</v>
      </c>
      <c r="E38" s="353">
        <v>20</v>
      </c>
      <c r="F38" s="354">
        <v>807</v>
      </c>
      <c r="G38" s="355" t="str">
        <f t="shared" si="9"/>
        <v>倉庫</v>
      </c>
      <c r="H38" s="355" t="str">
        <f t="shared" si="10"/>
        <v>事務所/店舗</v>
      </c>
      <c r="I38" s="356">
        <v>50000</v>
      </c>
      <c r="J38" s="356">
        <v>0</v>
      </c>
      <c r="K38" s="356">
        <v>4000</v>
      </c>
      <c r="L38" s="356">
        <f t="shared" si="8"/>
        <v>54000</v>
      </c>
      <c r="M38" s="356">
        <f t="shared" ref="M38:M46" si="11">L38</f>
        <v>54000</v>
      </c>
      <c r="N38" s="357"/>
      <c r="O38" s="357"/>
      <c r="P38" s="351"/>
    </row>
    <row r="39" spans="1:16" x14ac:dyDescent="0.4">
      <c r="A39" s="349">
        <v>203</v>
      </c>
      <c r="B39" s="350" t="str">
        <f t="shared" si="5"/>
        <v>大東京建託アパート目白</v>
      </c>
      <c r="C39" s="351">
        <v>7</v>
      </c>
      <c r="D39" s="352">
        <v>301</v>
      </c>
      <c r="E39" s="353">
        <v>20</v>
      </c>
      <c r="F39" s="354">
        <v>803</v>
      </c>
      <c r="G39" s="355" t="str">
        <f t="shared" si="9"/>
        <v>店舗</v>
      </c>
      <c r="H39" s="355" t="str">
        <f t="shared" si="10"/>
        <v>事務所/店舗</v>
      </c>
      <c r="I39" s="356">
        <v>800000</v>
      </c>
      <c r="J39" s="356">
        <v>0</v>
      </c>
      <c r="K39" s="356">
        <f>I39*0.08</f>
        <v>64000</v>
      </c>
      <c r="L39" s="356">
        <f t="shared" si="8"/>
        <v>864000</v>
      </c>
      <c r="M39" s="356">
        <f t="shared" si="11"/>
        <v>864000</v>
      </c>
      <c r="N39" s="357"/>
      <c r="O39" s="357"/>
      <c r="P39" s="351"/>
    </row>
    <row r="40" spans="1:16" x14ac:dyDescent="0.4">
      <c r="A40" s="349">
        <v>203</v>
      </c>
      <c r="B40" s="350" t="str">
        <f t="shared" si="5"/>
        <v>大東京建託アパート目白</v>
      </c>
      <c r="C40" s="351">
        <v>8</v>
      </c>
      <c r="D40" s="352">
        <v>302</v>
      </c>
      <c r="E40" s="353">
        <v>20</v>
      </c>
      <c r="F40" s="354">
        <v>802</v>
      </c>
      <c r="G40" s="355" t="str">
        <f t="shared" si="9"/>
        <v>事務所</v>
      </c>
      <c r="H40" s="355" t="str">
        <f t="shared" si="10"/>
        <v>事務所/店舗</v>
      </c>
      <c r="I40" s="356">
        <v>250000</v>
      </c>
      <c r="J40" s="356">
        <v>0</v>
      </c>
      <c r="K40" s="356">
        <f>I40*0.08</f>
        <v>20000</v>
      </c>
      <c r="L40" s="356">
        <f t="shared" si="8"/>
        <v>270000</v>
      </c>
      <c r="M40" s="356">
        <f t="shared" si="11"/>
        <v>270000</v>
      </c>
      <c r="N40" s="357"/>
      <c r="O40" s="357"/>
      <c r="P40" s="351"/>
    </row>
    <row r="41" spans="1:16" x14ac:dyDescent="0.4">
      <c r="A41" s="349">
        <v>203</v>
      </c>
      <c r="B41" s="350" t="str">
        <f t="shared" si="5"/>
        <v>大東京建託アパート目白</v>
      </c>
      <c r="C41" s="351">
        <v>9</v>
      </c>
      <c r="D41" s="352" t="s">
        <v>424</v>
      </c>
      <c r="E41" s="353">
        <v>20</v>
      </c>
      <c r="F41" s="354">
        <v>808</v>
      </c>
      <c r="G41" s="355" t="str">
        <f t="shared" si="9"/>
        <v>民泊</v>
      </c>
      <c r="H41" s="355" t="str">
        <f t="shared" si="10"/>
        <v>オペレーショナル</v>
      </c>
      <c r="I41" s="356">
        <v>52000</v>
      </c>
      <c r="J41" s="356">
        <v>3000</v>
      </c>
      <c r="K41" s="356">
        <v>0</v>
      </c>
      <c r="L41" s="356">
        <f t="shared" si="8"/>
        <v>55000</v>
      </c>
      <c r="M41" s="356">
        <f t="shared" si="11"/>
        <v>55000</v>
      </c>
      <c r="N41" s="357"/>
      <c r="O41" s="357"/>
      <c r="P41" s="351"/>
    </row>
    <row r="42" spans="1:16" x14ac:dyDescent="0.4">
      <c r="A42" s="349">
        <v>203</v>
      </c>
      <c r="B42" s="350" t="str">
        <f t="shared" si="5"/>
        <v>大東京建託アパート目白</v>
      </c>
      <c r="C42" s="351">
        <v>10</v>
      </c>
      <c r="D42" s="352" t="s">
        <v>425</v>
      </c>
      <c r="E42" s="353">
        <v>20</v>
      </c>
      <c r="F42" s="354">
        <v>809</v>
      </c>
      <c r="G42" s="355" t="str">
        <f t="shared" si="9"/>
        <v>シェアハウス</v>
      </c>
      <c r="H42" s="355" t="str">
        <f t="shared" si="10"/>
        <v>オペレーショナル</v>
      </c>
      <c r="I42" s="356">
        <v>52000</v>
      </c>
      <c r="J42" s="356">
        <v>3000</v>
      </c>
      <c r="K42" s="356">
        <v>0</v>
      </c>
      <c r="L42" s="356">
        <f t="shared" si="8"/>
        <v>55000</v>
      </c>
      <c r="M42" s="356">
        <f t="shared" si="11"/>
        <v>55000</v>
      </c>
      <c r="N42" s="357"/>
      <c r="O42" s="357"/>
      <c r="P42" s="351"/>
    </row>
    <row r="43" spans="1:16" x14ac:dyDescent="0.4">
      <c r="A43" s="349">
        <v>203</v>
      </c>
      <c r="B43" s="350" t="str">
        <f t="shared" si="5"/>
        <v>大東京建託アパート目白</v>
      </c>
      <c r="C43" s="351">
        <v>11</v>
      </c>
      <c r="D43" s="352" t="s">
        <v>419</v>
      </c>
      <c r="E43" s="353" t="s">
        <v>421</v>
      </c>
      <c r="F43" s="354">
        <v>805</v>
      </c>
      <c r="G43" s="355" t="str">
        <f t="shared" si="9"/>
        <v>アンテナ</v>
      </c>
      <c r="H43" s="355" t="str">
        <f t="shared" si="10"/>
        <v>その他</v>
      </c>
      <c r="I43" s="356">
        <v>67000</v>
      </c>
      <c r="J43" s="356">
        <v>3000</v>
      </c>
      <c r="K43" s="356">
        <v>0</v>
      </c>
      <c r="L43" s="356">
        <f t="shared" si="8"/>
        <v>70000</v>
      </c>
      <c r="M43" s="356">
        <f t="shared" si="11"/>
        <v>70000</v>
      </c>
      <c r="N43" s="357"/>
      <c r="O43" s="357"/>
      <c r="P43" s="351"/>
    </row>
    <row r="44" spans="1:16" x14ac:dyDescent="0.4">
      <c r="A44" s="349">
        <v>203</v>
      </c>
      <c r="B44" s="350" t="str">
        <f t="shared" si="5"/>
        <v>大東京建託アパート目白</v>
      </c>
      <c r="C44" s="351">
        <v>12</v>
      </c>
      <c r="D44" s="352" t="s">
        <v>420</v>
      </c>
      <c r="E44" s="353" t="s">
        <v>421</v>
      </c>
      <c r="F44" s="354">
        <v>804</v>
      </c>
      <c r="G44" s="355" t="str">
        <f t="shared" si="9"/>
        <v>駐車場</v>
      </c>
      <c r="H44" s="355" t="str">
        <f t="shared" si="10"/>
        <v>駐車場</v>
      </c>
      <c r="I44" s="356">
        <v>30000</v>
      </c>
      <c r="J44" s="356">
        <v>0</v>
      </c>
      <c r="K44" s="356">
        <v>2400</v>
      </c>
      <c r="L44" s="356">
        <f t="shared" si="8"/>
        <v>32400</v>
      </c>
      <c r="M44" s="356">
        <f t="shared" si="11"/>
        <v>32400</v>
      </c>
      <c r="N44" s="357"/>
      <c r="O44" s="357"/>
      <c r="P44" s="351"/>
    </row>
    <row r="45" spans="1:16" x14ac:dyDescent="0.4">
      <c r="A45" s="349">
        <v>203</v>
      </c>
      <c r="B45" s="350" t="str">
        <f t="shared" si="5"/>
        <v>大東京建託アパート目白</v>
      </c>
      <c r="C45" s="351">
        <v>13</v>
      </c>
      <c r="D45" s="352" t="s">
        <v>422</v>
      </c>
      <c r="E45" s="353" t="s">
        <v>421</v>
      </c>
      <c r="F45" s="354">
        <v>804</v>
      </c>
      <c r="G45" s="355" t="str">
        <f t="shared" si="9"/>
        <v>駐車場</v>
      </c>
      <c r="H45" s="355" t="str">
        <f t="shared" si="10"/>
        <v>駐車場</v>
      </c>
      <c r="I45" s="356">
        <v>30000</v>
      </c>
      <c r="J45" s="356">
        <v>0</v>
      </c>
      <c r="K45" s="356">
        <v>2400</v>
      </c>
      <c r="L45" s="356">
        <f t="shared" si="8"/>
        <v>32400</v>
      </c>
      <c r="M45" s="356">
        <f t="shared" si="11"/>
        <v>32400</v>
      </c>
      <c r="N45" s="357"/>
      <c r="O45" s="357"/>
      <c r="P45" s="351"/>
    </row>
    <row r="46" spans="1:16" x14ac:dyDescent="0.4">
      <c r="A46" s="349">
        <v>203</v>
      </c>
      <c r="B46" s="350" t="str">
        <f t="shared" si="5"/>
        <v>大東京建託アパート目白</v>
      </c>
      <c r="C46" s="351">
        <v>14</v>
      </c>
      <c r="D46" s="352" t="s">
        <v>423</v>
      </c>
      <c r="E46" s="353" t="s">
        <v>421</v>
      </c>
      <c r="F46" s="354">
        <v>804</v>
      </c>
      <c r="G46" s="355" t="str">
        <f t="shared" si="9"/>
        <v>駐車場</v>
      </c>
      <c r="H46" s="355" t="str">
        <f t="shared" si="10"/>
        <v>駐車場</v>
      </c>
      <c r="I46" s="356">
        <v>30000</v>
      </c>
      <c r="J46" s="356">
        <v>0</v>
      </c>
      <c r="K46" s="356">
        <v>2400</v>
      </c>
      <c r="L46" s="356">
        <f t="shared" si="8"/>
        <v>32400</v>
      </c>
      <c r="M46" s="356">
        <f t="shared" si="11"/>
        <v>32400</v>
      </c>
      <c r="N46" s="357"/>
      <c r="O46" s="357"/>
      <c r="P46" s="351"/>
    </row>
    <row r="47" spans="1:16" x14ac:dyDescent="0.4">
      <c r="A47" s="349">
        <v>204</v>
      </c>
      <c r="B47" s="350" t="str">
        <f t="shared" si="5"/>
        <v>かぼちゃレジデンス池袋</v>
      </c>
      <c r="C47" s="351">
        <v>1</v>
      </c>
      <c r="D47" s="352">
        <v>101</v>
      </c>
      <c r="E47" s="353">
        <v>20</v>
      </c>
      <c r="F47" s="354">
        <v>801</v>
      </c>
      <c r="G47" s="355" t="str">
        <f t="shared" si="9"/>
        <v>住居</v>
      </c>
      <c r="H47" s="355" t="str">
        <f t="shared" si="10"/>
        <v>住居</v>
      </c>
      <c r="I47" s="356">
        <v>50000</v>
      </c>
      <c r="J47" s="356">
        <v>3000</v>
      </c>
      <c r="K47" s="356">
        <v>0</v>
      </c>
      <c r="L47" s="356">
        <f>I47+J47+K47</f>
        <v>53000</v>
      </c>
      <c r="M47" s="356">
        <f>L47</f>
        <v>53000</v>
      </c>
      <c r="N47" s="357"/>
      <c r="O47" s="357"/>
      <c r="P47" s="351"/>
    </row>
    <row r="48" spans="1:16" x14ac:dyDescent="0.4">
      <c r="A48" s="349">
        <v>204</v>
      </c>
      <c r="B48" s="350" t="str">
        <f t="shared" si="5"/>
        <v>かぼちゃレジデンス池袋</v>
      </c>
      <c r="C48" s="351">
        <v>2</v>
      </c>
      <c r="D48" s="352">
        <v>102</v>
      </c>
      <c r="E48" s="353">
        <v>20</v>
      </c>
      <c r="F48" s="354">
        <v>801</v>
      </c>
      <c r="G48" s="355" t="str">
        <f t="shared" si="9"/>
        <v>住居</v>
      </c>
      <c r="H48" s="355" t="str">
        <f t="shared" si="10"/>
        <v>住居</v>
      </c>
      <c r="I48" s="356">
        <v>50000</v>
      </c>
      <c r="J48" s="356">
        <v>3000</v>
      </c>
      <c r="K48" s="356">
        <v>0</v>
      </c>
      <c r="L48" s="356">
        <f t="shared" ref="L48:L60" si="12">I48+J48+K48</f>
        <v>53000</v>
      </c>
      <c r="M48" s="356">
        <f>L48</f>
        <v>53000</v>
      </c>
      <c r="N48" s="357"/>
      <c r="O48" s="357"/>
      <c r="P48" s="351"/>
    </row>
    <row r="49" spans="1:16" x14ac:dyDescent="0.4">
      <c r="A49" s="349">
        <v>204</v>
      </c>
      <c r="B49" s="350" t="str">
        <f t="shared" si="5"/>
        <v>かぼちゃレジデンス池袋</v>
      </c>
      <c r="C49" s="351">
        <v>3</v>
      </c>
      <c r="D49" s="352">
        <v>103</v>
      </c>
      <c r="E49" s="353">
        <v>20</v>
      </c>
      <c r="F49" s="354">
        <v>801</v>
      </c>
      <c r="G49" s="355" t="str">
        <f t="shared" si="9"/>
        <v>住居</v>
      </c>
      <c r="H49" s="355" t="str">
        <f t="shared" si="10"/>
        <v>住居</v>
      </c>
      <c r="I49" s="356">
        <v>0</v>
      </c>
      <c r="J49" s="356">
        <v>0</v>
      </c>
      <c r="K49" s="356">
        <v>0</v>
      </c>
      <c r="L49" s="356">
        <f t="shared" si="12"/>
        <v>0</v>
      </c>
      <c r="M49" s="356">
        <v>60000</v>
      </c>
      <c r="N49" s="357">
        <v>1</v>
      </c>
      <c r="O49" s="357"/>
      <c r="P49" s="351" t="s">
        <v>415</v>
      </c>
    </row>
    <row r="50" spans="1:16" x14ac:dyDescent="0.4">
      <c r="A50" s="349">
        <v>204</v>
      </c>
      <c r="B50" s="350" t="str">
        <f t="shared" si="5"/>
        <v>かぼちゃレジデンス池袋</v>
      </c>
      <c r="C50" s="351">
        <v>4</v>
      </c>
      <c r="D50" s="352">
        <v>201</v>
      </c>
      <c r="E50" s="353">
        <v>20</v>
      </c>
      <c r="F50" s="354">
        <v>801</v>
      </c>
      <c r="G50" s="355" t="str">
        <f t="shared" si="9"/>
        <v>住居</v>
      </c>
      <c r="H50" s="355" t="str">
        <f t="shared" si="10"/>
        <v>住居</v>
      </c>
      <c r="I50" s="356">
        <v>0</v>
      </c>
      <c r="J50" s="356">
        <v>0</v>
      </c>
      <c r="K50" s="356">
        <v>0</v>
      </c>
      <c r="L50" s="356">
        <f t="shared" si="12"/>
        <v>0</v>
      </c>
      <c r="M50" s="356">
        <v>60000</v>
      </c>
      <c r="N50" s="357">
        <v>1</v>
      </c>
      <c r="O50" s="357"/>
      <c r="P50" s="351" t="s">
        <v>415</v>
      </c>
    </row>
    <row r="51" spans="1:16" x14ac:dyDescent="0.4">
      <c r="A51" s="349">
        <v>204</v>
      </c>
      <c r="B51" s="350" t="str">
        <f t="shared" si="5"/>
        <v>かぼちゃレジデンス池袋</v>
      </c>
      <c r="C51" s="351">
        <v>5</v>
      </c>
      <c r="D51" s="352">
        <v>202</v>
      </c>
      <c r="E51" s="353">
        <v>20</v>
      </c>
      <c r="F51" s="354">
        <v>801</v>
      </c>
      <c r="G51" s="355" t="str">
        <f t="shared" si="9"/>
        <v>住居</v>
      </c>
      <c r="H51" s="355" t="str">
        <f t="shared" si="10"/>
        <v>住居</v>
      </c>
      <c r="I51" s="356">
        <v>50000</v>
      </c>
      <c r="J51" s="356">
        <v>3000</v>
      </c>
      <c r="K51" s="356">
        <v>0</v>
      </c>
      <c r="L51" s="356">
        <f t="shared" si="12"/>
        <v>53000</v>
      </c>
      <c r="M51" s="356">
        <f>L51</f>
        <v>53000</v>
      </c>
      <c r="N51" s="357"/>
      <c r="O51" s="357"/>
      <c r="P51" s="351"/>
    </row>
    <row r="52" spans="1:16" x14ac:dyDescent="0.4">
      <c r="A52" s="349">
        <v>204</v>
      </c>
      <c r="B52" s="350" t="str">
        <f t="shared" si="5"/>
        <v>かぼちゃレジデンス池袋</v>
      </c>
      <c r="C52" s="351">
        <v>6</v>
      </c>
      <c r="D52" s="352">
        <v>203</v>
      </c>
      <c r="E52" s="353">
        <v>20</v>
      </c>
      <c r="F52" s="354">
        <v>807</v>
      </c>
      <c r="G52" s="355" t="str">
        <f t="shared" si="9"/>
        <v>倉庫</v>
      </c>
      <c r="H52" s="355" t="str">
        <f t="shared" si="10"/>
        <v>事務所/店舗</v>
      </c>
      <c r="I52" s="356">
        <v>50000</v>
      </c>
      <c r="J52" s="356">
        <v>0</v>
      </c>
      <c r="K52" s="356">
        <v>4000</v>
      </c>
      <c r="L52" s="356">
        <f t="shared" si="12"/>
        <v>54000</v>
      </c>
      <c r="M52" s="356">
        <f t="shared" ref="M52:M60" si="13">L52</f>
        <v>54000</v>
      </c>
      <c r="N52" s="357"/>
      <c r="O52" s="357"/>
      <c r="P52" s="351"/>
    </row>
    <row r="53" spans="1:16" x14ac:dyDescent="0.4">
      <c r="A53" s="349">
        <v>204</v>
      </c>
      <c r="B53" s="350" t="str">
        <f t="shared" si="5"/>
        <v>かぼちゃレジデンス池袋</v>
      </c>
      <c r="C53" s="351">
        <v>7</v>
      </c>
      <c r="D53" s="352">
        <v>301</v>
      </c>
      <c r="E53" s="353">
        <v>20</v>
      </c>
      <c r="F53" s="354">
        <v>803</v>
      </c>
      <c r="G53" s="355" t="str">
        <f t="shared" si="9"/>
        <v>店舗</v>
      </c>
      <c r="H53" s="355" t="str">
        <f t="shared" si="10"/>
        <v>事務所/店舗</v>
      </c>
      <c r="I53" s="356">
        <v>800000</v>
      </c>
      <c r="J53" s="356">
        <v>0</v>
      </c>
      <c r="K53" s="356">
        <f>I53*0.08</f>
        <v>64000</v>
      </c>
      <c r="L53" s="356">
        <f t="shared" si="12"/>
        <v>864000</v>
      </c>
      <c r="M53" s="356">
        <f t="shared" si="13"/>
        <v>864000</v>
      </c>
      <c r="N53" s="357"/>
      <c r="O53" s="357"/>
      <c r="P53" s="351"/>
    </row>
    <row r="54" spans="1:16" x14ac:dyDescent="0.4">
      <c r="A54" s="349">
        <v>204</v>
      </c>
      <c r="B54" s="350" t="str">
        <f t="shared" si="5"/>
        <v>かぼちゃレジデンス池袋</v>
      </c>
      <c r="C54" s="351">
        <v>8</v>
      </c>
      <c r="D54" s="352">
        <v>302</v>
      </c>
      <c r="E54" s="353">
        <v>20</v>
      </c>
      <c r="F54" s="354">
        <v>802</v>
      </c>
      <c r="G54" s="355" t="str">
        <f t="shared" si="9"/>
        <v>事務所</v>
      </c>
      <c r="H54" s="355" t="str">
        <f t="shared" si="10"/>
        <v>事務所/店舗</v>
      </c>
      <c r="I54" s="356">
        <v>250000</v>
      </c>
      <c r="J54" s="356">
        <v>0</v>
      </c>
      <c r="K54" s="356">
        <f>I54*0.08</f>
        <v>20000</v>
      </c>
      <c r="L54" s="356">
        <f t="shared" si="12"/>
        <v>270000</v>
      </c>
      <c r="M54" s="356">
        <f t="shared" si="13"/>
        <v>270000</v>
      </c>
      <c r="N54" s="357"/>
      <c r="O54" s="357"/>
      <c r="P54" s="351"/>
    </row>
    <row r="55" spans="1:16" x14ac:dyDescent="0.4">
      <c r="A55" s="349">
        <v>204</v>
      </c>
      <c r="B55" s="350" t="str">
        <f t="shared" si="5"/>
        <v>かぼちゃレジデンス池袋</v>
      </c>
      <c r="C55" s="351">
        <v>9</v>
      </c>
      <c r="D55" s="352" t="s">
        <v>424</v>
      </c>
      <c r="E55" s="353">
        <v>20</v>
      </c>
      <c r="F55" s="354">
        <v>808</v>
      </c>
      <c r="G55" s="355" t="str">
        <f t="shared" si="9"/>
        <v>民泊</v>
      </c>
      <c r="H55" s="355" t="str">
        <f t="shared" si="10"/>
        <v>オペレーショナル</v>
      </c>
      <c r="I55" s="356">
        <v>52000</v>
      </c>
      <c r="J55" s="356">
        <v>3000</v>
      </c>
      <c r="K55" s="356">
        <v>0</v>
      </c>
      <c r="L55" s="356">
        <f t="shared" si="12"/>
        <v>55000</v>
      </c>
      <c r="M55" s="356">
        <f t="shared" si="13"/>
        <v>55000</v>
      </c>
      <c r="N55" s="357"/>
      <c r="O55" s="357"/>
      <c r="P55" s="351"/>
    </row>
    <row r="56" spans="1:16" x14ac:dyDescent="0.4">
      <c r="A56" s="349">
        <v>204</v>
      </c>
      <c r="B56" s="350" t="str">
        <f t="shared" si="5"/>
        <v>かぼちゃレジデンス池袋</v>
      </c>
      <c r="C56" s="351">
        <v>10</v>
      </c>
      <c r="D56" s="352" t="s">
        <v>425</v>
      </c>
      <c r="E56" s="353">
        <v>20</v>
      </c>
      <c r="F56" s="354">
        <v>809</v>
      </c>
      <c r="G56" s="355" t="str">
        <f t="shared" si="9"/>
        <v>シェアハウス</v>
      </c>
      <c r="H56" s="355" t="str">
        <f t="shared" si="10"/>
        <v>オペレーショナル</v>
      </c>
      <c r="I56" s="356">
        <v>52000</v>
      </c>
      <c r="J56" s="356">
        <v>3000</v>
      </c>
      <c r="K56" s="356">
        <v>0</v>
      </c>
      <c r="L56" s="356">
        <f t="shared" si="12"/>
        <v>55000</v>
      </c>
      <c r="M56" s="356">
        <f t="shared" si="13"/>
        <v>55000</v>
      </c>
      <c r="N56" s="357"/>
      <c r="O56" s="357"/>
      <c r="P56" s="351"/>
    </row>
    <row r="57" spans="1:16" x14ac:dyDescent="0.4">
      <c r="A57" s="349">
        <v>204</v>
      </c>
      <c r="B57" s="350" t="str">
        <f t="shared" si="5"/>
        <v>かぼちゃレジデンス池袋</v>
      </c>
      <c r="C57" s="351">
        <v>11</v>
      </c>
      <c r="D57" s="352" t="s">
        <v>419</v>
      </c>
      <c r="E57" s="353" t="s">
        <v>421</v>
      </c>
      <c r="F57" s="354">
        <v>805</v>
      </c>
      <c r="G57" s="355" t="str">
        <f t="shared" si="9"/>
        <v>アンテナ</v>
      </c>
      <c r="H57" s="355" t="str">
        <f t="shared" si="10"/>
        <v>その他</v>
      </c>
      <c r="I57" s="356">
        <v>67000</v>
      </c>
      <c r="J57" s="356">
        <v>3000</v>
      </c>
      <c r="K57" s="356">
        <v>0</v>
      </c>
      <c r="L57" s="356">
        <f t="shared" si="12"/>
        <v>70000</v>
      </c>
      <c r="M57" s="356">
        <f t="shared" si="13"/>
        <v>70000</v>
      </c>
      <c r="N57" s="357"/>
      <c r="O57" s="357"/>
      <c r="P57" s="351"/>
    </row>
    <row r="58" spans="1:16" x14ac:dyDescent="0.4">
      <c r="A58" s="349">
        <v>204</v>
      </c>
      <c r="B58" s="350" t="str">
        <f t="shared" si="5"/>
        <v>かぼちゃレジデンス池袋</v>
      </c>
      <c r="C58" s="351">
        <v>12</v>
      </c>
      <c r="D58" s="352" t="s">
        <v>420</v>
      </c>
      <c r="E58" s="353" t="s">
        <v>421</v>
      </c>
      <c r="F58" s="354">
        <v>804</v>
      </c>
      <c r="G58" s="355" t="str">
        <f t="shared" si="9"/>
        <v>駐車場</v>
      </c>
      <c r="H58" s="355" t="str">
        <f t="shared" si="10"/>
        <v>駐車場</v>
      </c>
      <c r="I58" s="356">
        <v>30000</v>
      </c>
      <c r="J58" s="356">
        <v>0</v>
      </c>
      <c r="K58" s="356">
        <v>2400</v>
      </c>
      <c r="L58" s="356">
        <f t="shared" si="12"/>
        <v>32400</v>
      </c>
      <c r="M58" s="356">
        <f t="shared" si="13"/>
        <v>32400</v>
      </c>
      <c r="N58" s="357"/>
      <c r="O58" s="357"/>
      <c r="P58" s="351"/>
    </row>
    <row r="59" spans="1:16" x14ac:dyDescent="0.4">
      <c r="A59" s="349">
        <v>204</v>
      </c>
      <c r="B59" s="350" t="str">
        <f t="shared" si="5"/>
        <v>かぼちゃレジデンス池袋</v>
      </c>
      <c r="C59" s="351">
        <v>13</v>
      </c>
      <c r="D59" s="352" t="s">
        <v>422</v>
      </c>
      <c r="E59" s="353" t="s">
        <v>421</v>
      </c>
      <c r="F59" s="354">
        <v>804</v>
      </c>
      <c r="G59" s="355" t="str">
        <f t="shared" si="9"/>
        <v>駐車場</v>
      </c>
      <c r="H59" s="355" t="str">
        <f t="shared" si="10"/>
        <v>駐車場</v>
      </c>
      <c r="I59" s="356">
        <v>30000</v>
      </c>
      <c r="J59" s="356">
        <v>0</v>
      </c>
      <c r="K59" s="356">
        <v>2400</v>
      </c>
      <c r="L59" s="356">
        <f t="shared" si="12"/>
        <v>32400</v>
      </c>
      <c r="M59" s="356">
        <f t="shared" si="13"/>
        <v>32400</v>
      </c>
      <c r="N59" s="357"/>
      <c r="O59" s="357"/>
      <c r="P59" s="351"/>
    </row>
    <row r="60" spans="1:16" x14ac:dyDescent="0.4">
      <c r="A60" s="349">
        <v>204</v>
      </c>
      <c r="B60" s="350" t="str">
        <f t="shared" si="5"/>
        <v>かぼちゃレジデンス池袋</v>
      </c>
      <c r="C60" s="351">
        <v>14</v>
      </c>
      <c r="D60" s="352" t="s">
        <v>423</v>
      </c>
      <c r="E60" s="353" t="s">
        <v>421</v>
      </c>
      <c r="F60" s="354">
        <v>804</v>
      </c>
      <c r="G60" s="355" t="str">
        <f t="shared" si="9"/>
        <v>駐車場</v>
      </c>
      <c r="H60" s="355" t="str">
        <f t="shared" si="10"/>
        <v>駐車場</v>
      </c>
      <c r="I60" s="356">
        <v>30000</v>
      </c>
      <c r="J60" s="356">
        <v>0</v>
      </c>
      <c r="K60" s="356">
        <v>2400</v>
      </c>
      <c r="L60" s="356">
        <f t="shared" si="12"/>
        <v>32400</v>
      </c>
      <c r="M60" s="356">
        <f t="shared" si="13"/>
        <v>32400</v>
      </c>
      <c r="N60" s="357"/>
      <c r="O60" s="357"/>
      <c r="P60" s="351"/>
    </row>
    <row r="61" spans="1:16" x14ac:dyDescent="0.4">
      <c r="A61" s="349">
        <v>205</v>
      </c>
      <c r="B61" s="350" t="str">
        <f t="shared" si="5"/>
        <v>かぼちゃレジデンス五反田</v>
      </c>
      <c r="C61" s="351">
        <v>1</v>
      </c>
      <c r="D61" s="352">
        <v>101</v>
      </c>
      <c r="E61" s="353">
        <v>20</v>
      </c>
      <c r="F61" s="354">
        <v>801</v>
      </c>
      <c r="G61" s="355" t="str">
        <f t="shared" si="9"/>
        <v>住居</v>
      </c>
      <c r="H61" s="355" t="str">
        <f t="shared" si="10"/>
        <v>住居</v>
      </c>
      <c r="I61" s="356">
        <v>50000</v>
      </c>
      <c r="J61" s="356">
        <v>3000</v>
      </c>
      <c r="K61" s="356">
        <v>0</v>
      </c>
      <c r="L61" s="356">
        <f>I61+J61+K61</f>
        <v>53000</v>
      </c>
      <c r="M61" s="356">
        <f>L61</f>
        <v>53000</v>
      </c>
      <c r="N61" s="357"/>
      <c r="O61" s="357"/>
      <c r="P61" s="351"/>
    </row>
    <row r="62" spans="1:16" x14ac:dyDescent="0.4">
      <c r="A62" s="349">
        <v>205</v>
      </c>
      <c r="B62" s="350" t="str">
        <f t="shared" si="5"/>
        <v>かぼちゃレジデンス五反田</v>
      </c>
      <c r="C62" s="351">
        <v>2</v>
      </c>
      <c r="D62" s="352">
        <v>102</v>
      </c>
      <c r="E62" s="353">
        <v>20</v>
      </c>
      <c r="F62" s="354">
        <v>801</v>
      </c>
      <c r="G62" s="355" t="str">
        <f t="shared" si="9"/>
        <v>住居</v>
      </c>
      <c r="H62" s="355" t="str">
        <f t="shared" si="10"/>
        <v>住居</v>
      </c>
      <c r="I62" s="356">
        <v>50000</v>
      </c>
      <c r="J62" s="356">
        <v>3000</v>
      </c>
      <c r="K62" s="356">
        <v>0</v>
      </c>
      <c r="L62" s="356">
        <f t="shared" ref="L62:L74" si="14">I62+J62+K62</f>
        <v>53000</v>
      </c>
      <c r="M62" s="356">
        <f>L62</f>
        <v>53000</v>
      </c>
      <c r="N62" s="357"/>
      <c r="O62" s="357"/>
      <c r="P62" s="351"/>
    </row>
    <row r="63" spans="1:16" x14ac:dyDescent="0.4">
      <c r="A63" s="349">
        <v>205</v>
      </c>
      <c r="B63" s="350" t="str">
        <f t="shared" si="5"/>
        <v>かぼちゃレジデンス五反田</v>
      </c>
      <c r="C63" s="351">
        <v>3</v>
      </c>
      <c r="D63" s="352">
        <v>103</v>
      </c>
      <c r="E63" s="353">
        <v>20</v>
      </c>
      <c r="F63" s="354">
        <v>801</v>
      </c>
      <c r="G63" s="355" t="str">
        <f t="shared" si="9"/>
        <v>住居</v>
      </c>
      <c r="H63" s="355" t="str">
        <f t="shared" si="10"/>
        <v>住居</v>
      </c>
      <c r="I63" s="356">
        <v>0</v>
      </c>
      <c r="J63" s="356">
        <v>0</v>
      </c>
      <c r="K63" s="356">
        <v>0</v>
      </c>
      <c r="L63" s="356">
        <f t="shared" si="14"/>
        <v>0</v>
      </c>
      <c r="M63" s="356">
        <v>60000</v>
      </c>
      <c r="N63" s="357">
        <v>1</v>
      </c>
      <c r="O63" s="357"/>
      <c r="P63" s="351" t="s">
        <v>415</v>
      </c>
    </row>
    <row r="64" spans="1:16" x14ac:dyDescent="0.4">
      <c r="A64" s="349">
        <v>205</v>
      </c>
      <c r="B64" s="350" t="str">
        <f t="shared" si="5"/>
        <v>かぼちゃレジデンス五反田</v>
      </c>
      <c r="C64" s="351">
        <v>4</v>
      </c>
      <c r="D64" s="352">
        <v>201</v>
      </c>
      <c r="E64" s="353">
        <v>20</v>
      </c>
      <c r="F64" s="354">
        <v>801</v>
      </c>
      <c r="G64" s="355" t="str">
        <f t="shared" si="9"/>
        <v>住居</v>
      </c>
      <c r="H64" s="355" t="str">
        <f t="shared" si="10"/>
        <v>住居</v>
      </c>
      <c r="I64" s="356">
        <v>0</v>
      </c>
      <c r="J64" s="356">
        <v>0</v>
      </c>
      <c r="K64" s="356">
        <v>0</v>
      </c>
      <c r="L64" s="356">
        <f t="shared" si="14"/>
        <v>0</v>
      </c>
      <c r="M64" s="356">
        <v>60000</v>
      </c>
      <c r="N64" s="357">
        <v>1</v>
      </c>
      <c r="O64" s="357"/>
      <c r="P64" s="351" t="s">
        <v>415</v>
      </c>
    </row>
    <row r="65" spans="1:16" x14ac:dyDescent="0.4">
      <c r="A65" s="349">
        <v>205</v>
      </c>
      <c r="B65" s="350" t="str">
        <f t="shared" si="5"/>
        <v>かぼちゃレジデンス五反田</v>
      </c>
      <c r="C65" s="351">
        <v>5</v>
      </c>
      <c r="D65" s="352">
        <v>202</v>
      </c>
      <c r="E65" s="353">
        <v>20</v>
      </c>
      <c r="F65" s="354">
        <v>801</v>
      </c>
      <c r="G65" s="355" t="str">
        <f t="shared" si="9"/>
        <v>住居</v>
      </c>
      <c r="H65" s="355" t="str">
        <f t="shared" si="10"/>
        <v>住居</v>
      </c>
      <c r="I65" s="356">
        <v>50000</v>
      </c>
      <c r="J65" s="356">
        <v>3000</v>
      </c>
      <c r="K65" s="356">
        <v>0</v>
      </c>
      <c r="L65" s="356">
        <f t="shared" si="14"/>
        <v>53000</v>
      </c>
      <c r="M65" s="356">
        <f>L65</f>
        <v>53000</v>
      </c>
      <c r="N65" s="357"/>
      <c r="O65" s="357"/>
      <c r="P65" s="351"/>
    </row>
    <row r="66" spans="1:16" x14ac:dyDescent="0.4">
      <c r="A66" s="349">
        <v>205</v>
      </c>
      <c r="B66" s="350" t="str">
        <f t="shared" si="5"/>
        <v>かぼちゃレジデンス五反田</v>
      </c>
      <c r="C66" s="351">
        <v>6</v>
      </c>
      <c r="D66" s="352">
        <v>203</v>
      </c>
      <c r="E66" s="353">
        <v>20</v>
      </c>
      <c r="F66" s="354">
        <v>807</v>
      </c>
      <c r="G66" s="355" t="str">
        <f t="shared" si="9"/>
        <v>倉庫</v>
      </c>
      <c r="H66" s="355" t="str">
        <f t="shared" si="10"/>
        <v>事務所/店舗</v>
      </c>
      <c r="I66" s="356">
        <v>50000</v>
      </c>
      <c r="J66" s="356">
        <v>0</v>
      </c>
      <c r="K66" s="356">
        <v>4000</v>
      </c>
      <c r="L66" s="356">
        <f t="shared" si="14"/>
        <v>54000</v>
      </c>
      <c r="M66" s="356">
        <f t="shared" ref="M66:M74" si="15">L66</f>
        <v>54000</v>
      </c>
      <c r="N66" s="357"/>
      <c r="O66" s="357"/>
      <c r="P66" s="351"/>
    </row>
    <row r="67" spans="1:16" x14ac:dyDescent="0.4">
      <c r="A67" s="349">
        <v>205</v>
      </c>
      <c r="B67" s="350" t="str">
        <f t="shared" si="5"/>
        <v>かぼちゃレジデンス五反田</v>
      </c>
      <c r="C67" s="351">
        <v>7</v>
      </c>
      <c r="D67" s="352">
        <v>301</v>
      </c>
      <c r="E67" s="353">
        <v>20</v>
      </c>
      <c r="F67" s="354">
        <v>803</v>
      </c>
      <c r="G67" s="355" t="str">
        <f t="shared" si="9"/>
        <v>店舗</v>
      </c>
      <c r="H67" s="355" t="str">
        <f t="shared" si="10"/>
        <v>事務所/店舗</v>
      </c>
      <c r="I67" s="356">
        <v>800000</v>
      </c>
      <c r="J67" s="356">
        <v>0</v>
      </c>
      <c r="K67" s="356">
        <f>I67*0.08</f>
        <v>64000</v>
      </c>
      <c r="L67" s="356">
        <f t="shared" si="14"/>
        <v>864000</v>
      </c>
      <c r="M67" s="356">
        <f t="shared" si="15"/>
        <v>864000</v>
      </c>
      <c r="N67" s="357"/>
      <c r="O67" s="357"/>
      <c r="P67" s="351"/>
    </row>
    <row r="68" spans="1:16" x14ac:dyDescent="0.4">
      <c r="A68" s="349">
        <v>205</v>
      </c>
      <c r="B68" s="350" t="str">
        <f t="shared" si="5"/>
        <v>かぼちゃレジデンス五反田</v>
      </c>
      <c r="C68" s="351">
        <v>8</v>
      </c>
      <c r="D68" s="352">
        <v>302</v>
      </c>
      <c r="E68" s="353">
        <v>20</v>
      </c>
      <c r="F68" s="354">
        <v>802</v>
      </c>
      <c r="G68" s="355" t="str">
        <f t="shared" ref="G68:G99" si="16">VLOOKUP(F68,id_list,2,FALSE)</f>
        <v>事務所</v>
      </c>
      <c r="H68" s="355" t="str">
        <f t="shared" ref="H68:H99" si="17">VLOOKUP(F68,id_list,5,FALSE)</f>
        <v>事務所/店舗</v>
      </c>
      <c r="I68" s="356">
        <v>250000</v>
      </c>
      <c r="J68" s="356">
        <v>0</v>
      </c>
      <c r="K68" s="356">
        <f>I68*0.08</f>
        <v>20000</v>
      </c>
      <c r="L68" s="356">
        <f t="shared" si="14"/>
        <v>270000</v>
      </c>
      <c r="M68" s="356">
        <f t="shared" si="15"/>
        <v>270000</v>
      </c>
      <c r="N68" s="357"/>
      <c r="O68" s="357"/>
      <c r="P68" s="351"/>
    </row>
    <row r="69" spans="1:16" x14ac:dyDescent="0.4">
      <c r="A69" s="349">
        <v>205</v>
      </c>
      <c r="B69" s="350" t="str">
        <f t="shared" ref="B69:B123" si="18">VLOOKUP(A69,id_list,2,FALSE)</f>
        <v>かぼちゃレジデンス五反田</v>
      </c>
      <c r="C69" s="351">
        <v>9</v>
      </c>
      <c r="D69" s="352" t="s">
        <v>424</v>
      </c>
      <c r="E69" s="353">
        <v>20</v>
      </c>
      <c r="F69" s="354">
        <v>808</v>
      </c>
      <c r="G69" s="355" t="str">
        <f t="shared" si="16"/>
        <v>民泊</v>
      </c>
      <c r="H69" s="355" t="str">
        <f t="shared" si="17"/>
        <v>オペレーショナル</v>
      </c>
      <c r="I69" s="356">
        <v>52000</v>
      </c>
      <c r="J69" s="356">
        <v>3000</v>
      </c>
      <c r="K69" s="356">
        <v>0</v>
      </c>
      <c r="L69" s="356">
        <f t="shared" si="14"/>
        <v>55000</v>
      </c>
      <c r="M69" s="356">
        <f t="shared" si="15"/>
        <v>55000</v>
      </c>
      <c r="N69" s="357"/>
      <c r="O69" s="357"/>
      <c r="P69" s="351"/>
    </row>
    <row r="70" spans="1:16" x14ac:dyDescent="0.4">
      <c r="A70" s="349">
        <v>205</v>
      </c>
      <c r="B70" s="350" t="str">
        <f t="shared" si="18"/>
        <v>かぼちゃレジデンス五反田</v>
      </c>
      <c r="C70" s="351">
        <v>10</v>
      </c>
      <c r="D70" s="352" t="s">
        <v>425</v>
      </c>
      <c r="E70" s="353">
        <v>20</v>
      </c>
      <c r="F70" s="354">
        <v>809</v>
      </c>
      <c r="G70" s="355" t="str">
        <f t="shared" si="16"/>
        <v>シェアハウス</v>
      </c>
      <c r="H70" s="355" t="str">
        <f t="shared" si="17"/>
        <v>オペレーショナル</v>
      </c>
      <c r="I70" s="356">
        <v>52000</v>
      </c>
      <c r="J70" s="356">
        <v>3000</v>
      </c>
      <c r="K70" s="356">
        <v>0</v>
      </c>
      <c r="L70" s="356">
        <f t="shared" si="14"/>
        <v>55000</v>
      </c>
      <c r="M70" s="356">
        <f t="shared" si="15"/>
        <v>55000</v>
      </c>
      <c r="N70" s="357"/>
      <c r="O70" s="357"/>
      <c r="P70" s="351"/>
    </row>
    <row r="71" spans="1:16" x14ac:dyDescent="0.4">
      <c r="A71" s="349">
        <v>205</v>
      </c>
      <c r="B71" s="350" t="str">
        <f t="shared" si="18"/>
        <v>かぼちゃレジデンス五反田</v>
      </c>
      <c r="C71" s="351">
        <v>11</v>
      </c>
      <c r="D71" s="352" t="s">
        <v>419</v>
      </c>
      <c r="E71" s="353" t="s">
        <v>421</v>
      </c>
      <c r="F71" s="354">
        <v>805</v>
      </c>
      <c r="G71" s="355" t="str">
        <f t="shared" si="16"/>
        <v>アンテナ</v>
      </c>
      <c r="H71" s="355" t="str">
        <f t="shared" si="17"/>
        <v>その他</v>
      </c>
      <c r="I71" s="356">
        <v>67000</v>
      </c>
      <c r="J71" s="356">
        <v>3000</v>
      </c>
      <c r="K71" s="356">
        <v>0</v>
      </c>
      <c r="L71" s="356">
        <f t="shared" si="14"/>
        <v>70000</v>
      </c>
      <c r="M71" s="356">
        <f t="shared" si="15"/>
        <v>70000</v>
      </c>
      <c r="N71" s="357"/>
      <c r="O71" s="357"/>
      <c r="P71" s="351"/>
    </row>
    <row r="72" spans="1:16" x14ac:dyDescent="0.4">
      <c r="A72" s="349">
        <v>205</v>
      </c>
      <c r="B72" s="350" t="str">
        <f t="shared" si="18"/>
        <v>かぼちゃレジデンス五反田</v>
      </c>
      <c r="C72" s="351">
        <v>12</v>
      </c>
      <c r="D72" s="352" t="s">
        <v>420</v>
      </c>
      <c r="E72" s="353" t="s">
        <v>421</v>
      </c>
      <c r="F72" s="354">
        <v>804</v>
      </c>
      <c r="G72" s="355" t="str">
        <f t="shared" si="16"/>
        <v>駐車場</v>
      </c>
      <c r="H72" s="355" t="str">
        <f t="shared" si="17"/>
        <v>駐車場</v>
      </c>
      <c r="I72" s="356">
        <v>30000</v>
      </c>
      <c r="J72" s="356">
        <v>0</v>
      </c>
      <c r="K72" s="356">
        <v>2400</v>
      </c>
      <c r="L72" s="356">
        <f t="shared" si="14"/>
        <v>32400</v>
      </c>
      <c r="M72" s="356">
        <f t="shared" si="15"/>
        <v>32400</v>
      </c>
      <c r="N72" s="357"/>
      <c r="O72" s="357"/>
      <c r="P72" s="351"/>
    </row>
    <row r="73" spans="1:16" x14ac:dyDescent="0.4">
      <c r="A73" s="349">
        <v>205</v>
      </c>
      <c r="B73" s="350" t="str">
        <f t="shared" si="18"/>
        <v>かぼちゃレジデンス五反田</v>
      </c>
      <c r="C73" s="351">
        <v>13</v>
      </c>
      <c r="D73" s="352" t="s">
        <v>422</v>
      </c>
      <c r="E73" s="353" t="s">
        <v>421</v>
      </c>
      <c r="F73" s="354">
        <v>804</v>
      </c>
      <c r="G73" s="355" t="str">
        <f t="shared" si="16"/>
        <v>駐車場</v>
      </c>
      <c r="H73" s="355" t="str">
        <f t="shared" si="17"/>
        <v>駐車場</v>
      </c>
      <c r="I73" s="356">
        <v>30000</v>
      </c>
      <c r="J73" s="356">
        <v>0</v>
      </c>
      <c r="K73" s="356">
        <v>2400</v>
      </c>
      <c r="L73" s="356">
        <f t="shared" si="14"/>
        <v>32400</v>
      </c>
      <c r="M73" s="356">
        <f t="shared" si="15"/>
        <v>32400</v>
      </c>
      <c r="N73" s="357"/>
      <c r="O73" s="357"/>
      <c r="P73" s="351"/>
    </row>
    <row r="74" spans="1:16" x14ac:dyDescent="0.4">
      <c r="A74" s="349">
        <v>205</v>
      </c>
      <c r="B74" s="350" t="str">
        <f t="shared" si="18"/>
        <v>かぼちゃレジデンス五反田</v>
      </c>
      <c r="C74" s="351">
        <v>14</v>
      </c>
      <c r="D74" s="352" t="s">
        <v>423</v>
      </c>
      <c r="E74" s="353" t="s">
        <v>421</v>
      </c>
      <c r="F74" s="354">
        <v>804</v>
      </c>
      <c r="G74" s="355" t="str">
        <f t="shared" si="16"/>
        <v>駐車場</v>
      </c>
      <c r="H74" s="355" t="str">
        <f t="shared" si="17"/>
        <v>駐車場</v>
      </c>
      <c r="I74" s="356">
        <v>30000</v>
      </c>
      <c r="J74" s="356">
        <v>0</v>
      </c>
      <c r="K74" s="356">
        <v>2400</v>
      </c>
      <c r="L74" s="356">
        <f t="shared" si="14"/>
        <v>32400</v>
      </c>
      <c r="M74" s="356">
        <f t="shared" si="15"/>
        <v>32400</v>
      </c>
      <c r="N74" s="357"/>
      <c r="O74" s="357"/>
      <c r="P74" s="351"/>
    </row>
    <row r="75" spans="1:16" x14ac:dyDescent="0.4">
      <c r="A75" s="349">
        <v>206</v>
      </c>
      <c r="B75" s="350" t="str">
        <f t="shared" si="18"/>
        <v>オープンマンション高田馬場</v>
      </c>
      <c r="C75" s="351">
        <v>1</v>
      </c>
      <c r="D75" s="352">
        <v>101</v>
      </c>
      <c r="E75" s="353">
        <v>20</v>
      </c>
      <c r="F75" s="354">
        <v>801</v>
      </c>
      <c r="G75" s="355" t="str">
        <f t="shared" si="16"/>
        <v>住居</v>
      </c>
      <c r="H75" s="355" t="str">
        <f t="shared" si="17"/>
        <v>住居</v>
      </c>
      <c r="I75" s="356">
        <v>50000</v>
      </c>
      <c r="J75" s="356">
        <v>3000</v>
      </c>
      <c r="K75" s="356">
        <v>0</v>
      </c>
      <c r="L75" s="356">
        <f>I75+J75+K75</f>
        <v>53000</v>
      </c>
      <c r="M75" s="356">
        <f>L75</f>
        <v>53000</v>
      </c>
      <c r="N75" s="357"/>
      <c r="O75" s="357"/>
      <c r="P75" s="351"/>
    </row>
    <row r="76" spans="1:16" x14ac:dyDescent="0.4">
      <c r="A76" s="349">
        <v>206</v>
      </c>
      <c r="B76" s="350" t="str">
        <f t="shared" si="18"/>
        <v>オープンマンション高田馬場</v>
      </c>
      <c r="C76" s="351">
        <v>2</v>
      </c>
      <c r="D76" s="352">
        <v>102</v>
      </c>
      <c r="E76" s="353">
        <v>20</v>
      </c>
      <c r="F76" s="354">
        <v>801</v>
      </c>
      <c r="G76" s="355" t="str">
        <f t="shared" si="16"/>
        <v>住居</v>
      </c>
      <c r="H76" s="355" t="str">
        <f t="shared" si="17"/>
        <v>住居</v>
      </c>
      <c r="I76" s="356">
        <v>50000</v>
      </c>
      <c r="J76" s="356">
        <v>3000</v>
      </c>
      <c r="K76" s="356">
        <v>0</v>
      </c>
      <c r="L76" s="356">
        <f t="shared" ref="L76:L88" si="19">I76+J76+K76</f>
        <v>53000</v>
      </c>
      <c r="M76" s="356">
        <f>L76</f>
        <v>53000</v>
      </c>
      <c r="N76" s="357"/>
      <c r="O76" s="357"/>
      <c r="P76" s="351"/>
    </row>
    <row r="77" spans="1:16" x14ac:dyDescent="0.4">
      <c r="A77" s="349">
        <v>206</v>
      </c>
      <c r="B77" s="350" t="str">
        <f t="shared" si="18"/>
        <v>オープンマンション高田馬場</v>
      </c>
      <c r="C77" s="351">
        <v>3</v>
      </c>
      <c r="D77" s="352">
        <v>103</v>
      </c>
      <c r="E77" s="353">
        <v>20</v>
      </c>
      <c r="F77" s="354">
        <v>801</v>
      </c>
      <c r="G77" s="355" t="str">
        <f t="shared" si="16"/>
        <v>住居</v>
      </c>
      <c r="H77" s="355" t="str">
        <f t="shared" si="17"/>
        <v>住居</v>
      </c>
      <c r="I77" s="356">
        <v>0</v>
      </c>
      <c r="J77" s="356">
        <v>0</v>
      </c>
      <c r="K77" s="356">
        <v>0</v>
      </c>
      <c r="L77" s="356">
        <f t="shared" si="19"/>
        <v>0</v>
      </c>
      <c r="M77" s="356">
        <v>60000</v>
      </c>
      <c r="N77" s="357">
        <v>1</v>
      </c>
      <c r="O77" s="357"/>
      <c r="P77" s="351" t="s">
        <v>415</v>
      </c>
    </row>
    <row r="78" spans="1:16" x14ac:dyDescent="0.4">
      <c r="A78" s="349">
        <v>206</v>
      </c>
      <c r="B78" s="350" t="str">
        <f t="shared" si="18"/>
        <v>オープンマンション高田馬場</v>
      </c>
      <c r="C78" s="351">
        <v>4</v>
      </c>
      <c r="D78" s="352">
        <v>201</v>
      </c>
      <c r="E78" s="353">
        <v>20</v>
      </c>
      <c r="F78" s="354">
        <v>801</v>
      </c>
      <c r="G78" s="355" t="str">
        <f t="shared" si="16"/>
        <v>住居</v>
      </c>
      <c r="H78" s="355" t="str">
        <f t="shared" si="17"/>
        <v>住居</v>
      </c>
      <c r="I78" s="356">
        <v>0</v>
      </c>
      <c r="J78" s="356">
        <v>0</v>
      </c>
      <c r="K78" s="356">
        <v>0</v>
      </c>
      <c r="L78" s="356">
        <f t="shared" si="19"/>
        <v>0</v>
      </c>
      <c r="M78" s="356">
        <v>60000</v>
      </c>
      <c r="N78" s="357">
        <v>1</v>
      </c>
      <c r="O78" s="357"/>
      <c r="P78" s="351" t="s">
        <v>415</v>
      </c>
    </row>
    <row r="79" spans="1:16" x14ac:dyDescent="0.4">
      <c r="A79" s="349">
        <v>206</v>
      </c>
      <c r="B79" s="350" t="str">
        <f t="shared" si="18"/>
        <v>オープンマンション高田馬場</v>
      </c>
      <c r="C79" s="351">
        <v>5</v>
      </c>
      <c r="D79" s="352">
        <v>202</v>
      </c>
      <c r="E79" s="353">
        <v>20</v>
      </c>
      <c r="F79" s="354">
        <v>801</v>
      </c>
      <c r="G79" s="355" t="str">
        <f t="shared" si="16"/>
        <v>住居</v>
      </c>
      <c r="H79" s="355" t="str">
        <f t="shared" si="17"/>
        <v>住居</v>
      </c>
      <c r="I79" s="356">
        <v>50000</v>
      </c>
      <c r="J79" s="356">
        <v>3000</v>
      </c>
      <c r="K79" s="356">
        <v>0</v>
      </c>
      <c r="L79" s="356">
        <f t="shared" si="19"/>
        <v>53000</v>
      </c>
      <c r="M79" s="356">
        <f>L79</f>
        <v>53000</v>
      </c>
      <c r="N79" s="357"/>
      <c r="O79" s="357"/>
      <c r="P79" s="351"/>
    </row>
    <row r="80" spans="1:16" x14ac:dyDescent="0.4">
      <c r="A80" s="349">
        <v>206</v>
      </c>
      <c r="B80" s="350" t="str">
        <f t="shared" si="18"/>
        <v>オープンマンション高田馬場</v>
      </c>
      <c r="C80" s="351">
        <v>6</v>
      </c>
      <c r="D80" s="352">
        <v>203</v>
      </c>
      <c r="E80" s="353">
        <v>20</v>
      </c>
      <c r="F80" s="354">
        <v>807</v>
      </c>
      <c r="G80" s="355" t="str">
        <f t="shared" si="16"/>
        <v>倉庫</v>
      </c>
      <c r="H80" s="355" t="str">
        <f t="shared" si="17"/>
        <v>事務所/店舗</v>
      </c>
      <c r="I80" s="356">
        <v>50000</v>
      </c>
      <c r="J80" s="356">
        <v>0</v>
      </c>
      <c r="K80" s="356">
        <v>4000</v>
      </c>
      <c r="L80" s="356">
        <f t="shared" si="19"/>
        <v>54000</v>
      </c>
      <c r="M80" s="356">
        <f t="shared" ref="M80:M88" si="20">L80</f>
        <v>54000</v>
      </c>
      <c r="N80" s="357"/>
      <c r="O80" s="357"/>
      <c r="P80" s="351"/>
    </row>
    <row r="81" spans="1:16" x14ac:dyDescent="0.4">
      <c r="A81" s="349">
        <v>206</v>
      </c>
      <c r="B81" s="350" t="str">
        <f t="shared" si="18"/>
        <v>オープンマンション高田馬場</v>
      </c>
      <c r="C81" s="351">
        <v>7</v>
      </c>
      <c r="D81" s="352">
        <v>301</v>
      </c>
      <c r="E81" s="353">
        <v>20</v>
      </c>
      <c r="F81" s="354">
        <v>803</v>
      </c>
      <c r="G81" s="355" t="str">
        <f t="shared" si="16"/>
        <v>店舗</v>
      </c>
      <c r="H81" s="355" t="str">
        <f t="shared" si="17"/>
        <v>事務所/店舗</v>
      </c>
      <c r="I81" s="356">
        <v>800000</v>
      </c>
      <c r="J81" s="356">
        <v>0</v>
      </c>
      <c r="K81" s="356">
        <f>I81*0.08</f>
        <v>64000</v>
      </c>
      <c r="L81" s="356">
        <f t="shared" si="19"/>
        <v>864000</v>
      </c>
      <c r="M81" s="356">
        <f t="shared" si="20"/>
        <v>864000</v>
      </c>
      <c r="N81" s="357"/>
      <c r="O81" s="357"/>
      <c r="P81" s="351"/>
    </row>
    <row r="82" spans="1:16" x14ac:dyDescent="0.4">
      <c r="A82" s="349">
        <v>206</v>
      </c>
      <c r="B82" s="350" t="str">
        <f t="shared" si="18"/>
        <v>オープンマンション高田馬場</v>
      </c>
      <c r="C82" s="351">
        <v>8</v>
      </c>
      <c r="D82" s="352">
        <v>302</v>
      </c>
      <c r="E82" s="353">
        <v>20</v>
      </c>
      <c r="F82" s="354">
        <v>802</v>
      </c>
      <c r="G82" s="355" t="str">
        <f t="shared" si="16"/>
        <v>事務所</v>
      </c>
      <c r="H82" s="355" t="str">
        <f t="shared" si="17"/>
        <v>事務所/店舗</v>
      </c>
      <c r="I82" s="356">
        <v>250000</v>
      </c>
      <c r="J82" s="356">
        <v>0</v>
      </c>
      <c r="K82" s="356">
        <f>I82*0.08</f>
        <v>20000</v>
      </c>
      <c r="L82" s="356">
        <f t="shared" si="19"/>
        <v>270000</v>
      </c>
      <c r="M82" s="356">
        <f t="shared" si="20"/>
        <v>270000</v>
      </c>
      <c r="N82" s="357"/>
      <c r="O82" s="357"/>
      <c r="P82" s="351"/>
    </row>
    <row r="83" spans="1:16" x14ac:dyDescent="0.4">
      <c r="A83" s="349">
        <v>206</v>
      </c>
      <c r="B83" s="350" t="str">
        <f t="shared" si="18"/>
        <v>オープンマンション高田馬場</v>
      </c>
      <c r="C83" s="351">
        <v>9</v>
      </c>
      <c r="D83" s="352" t="s">
        <v>424</v>
      </c>
      <c r="E83" s="353">
        <v>20</v>
      </c>
      <c r="F83" s="354">
        <v>808</v>
      </c>
      <c r="G83" s="355" t="str">
        <f t="shared" si="16"/>
        <v>民泊</v>
      </c>
      <c r="H83" s="355" t="str">
        <f t="shared" si="17"/>
        <v>オペレーショナル</v>
      </c>
      <c r="I83" s="356">
        <v>52000</v>
      </c>
      <c r="J83" s="356">
        <v>3000</v>
      </c>
      <c r="K83" s="356">
        <v>0</v>
      </c>
      <c r="L83" s="356">
        <f t="shared" si="19"/>
        <v>55000</v>
      </c>
      <c r="M83" s="356">
        <f t="shared" si="20"/>
        <v>55000</v>
      </c>
      <c r="N83" s="357"/>
      <c r="O83" s="357"/>
      <c r="P83" s="351"/>
    </row>
    <row r="84" spans="1:16" x14ac:dyDescent="0.4">
      <c r="A84" s="349">
        <v>206</v>
      </c>
      <c r="B84" s="350" t="str">
        <f t="shared" si="18"/>
        <v>オープンマンション高田馬場</v>
      </c>
      <c r="C84" s="351">
        <v>10</v>
      </c>
      <c r="D84" s="352" t="s">
        <v>425</v>
      </c>
      <c r="E84" s="353">
        <v>20</v>
      </c>
      <c r="F84" s="354">
        <v>809</v>
      </c>
      <c r="G84" s="355" t="str">
        <f t="shared" si="16"/>
        <v>シェアハウス</v>
      </c>
      <c r="H84" s="355" t="str">
        <f t="shared" si="17"/>
        <v>オペレーショナル</v>
      </c>
      <c r="I84" s="356">
        <v>52000</v>
      </c>
      <c r="J84" s="356">
        <v>3000</v>
      </c>
      <c r="K84" s="356">
        <v>0</v>
      </c>
      <c r="L84" s="356">
        <f t="shared" si="19"/>
        <v>55000</v>
      </c>
      <c r="M84" s="356">
        <f t="shared" si="20"/>
        <v>55000</v>
      </c>
      <c r="N84" s="357"/>
      <c r="O84" s="357"/>
      <c r="P84" s="351"/>
    </row>
    <row r="85" spans="1:16" x14ac:dyDescent="0.4">
      <c r="A85" s="349">
        <v>206</v>
      </c>
      <c r="B85" s="350" t="str">
        <f t="shared" si="18"/>
        <v>オープンマンション高田馬場</v>
      </c>
      <c r="C85" s="351">
        <v>11</v>
      </c>
      <c r="D85" s="352" t="s">
        <v>419</v>
      </c>
      <c r="E85" s="353" t="s">
        <v>421</v>
      </c>
      <c r="F85" s="354">
        <v>805</v>
      </c>
      <c r="G85" s="355" t="str">
        <f t="shared" si="16"/>
        <v>アンテナ</v>
      </c>
      <c r="H85" s="355" t="str">
        <f t="shared" si="17"/>
        <v>その他</v>
      </c>
      <c r="I85" s="356">
        <v>67000</v>
      </c>
      <c r="J85" s="356">
        <v>3000</v>
      </c>
      <c r="K85" s="356">
        <v>0</v>
      </c>
      <c r="L85" s="356">
        <f t="shared" si="19"/>
        <v>70000</v>
      </c>
      <c r="M85" s="356">
        <f t="shared" si="20"/>
        <v>70000</v>
      </c>
      <c r="N85" s="357"/>
      <c r="O85" s="357"/>
      <c r="P85" s="351"/>
    </row>
    <row r="86" spans="1:16" x14ac:dyDescent="0.4">
      <c r="A86" s="349">
        <v>206</v>
      </c>
      <c r="B86" s="350" t="str">
        <f t="shared" si="18"/>
        <v>オープンマンション高田馬場</v>
      </c>
      <c r="C86" s="351">
        <v>12</v>
      </c>
      <c r="D86" s="352" t="s">
        <v>420</v>
      </c>
      <c r="E86" s="353" t="s">
        <v>421</v>
      </c>
      <c r="F86" s="354">
        <v>804</v>
      </c>
      <c r="G86" s="355" t="str">
        <f t="shared" si="16"/>
        <v>駐車場</v>
      </c>
      <c r="H86" s="355" t="str">
        <f t="shared" si="17"/>
        <v>駐車場</v>
      </c>
      <c r="I86" s="356">
        <v>30000</v>
      </c>
      <c r="J86" s="356">
        <v>0</v>
      </c>
      <c r="K86" s="356">
        <v>2400</v>
      </c>
      <c r="L86" s="356">
        <f t="shared" si="19"/>
        <v>32400</v>
      </c>
      <c r="M86" s="356">
        <f t="shared" si="20"/>
        <v>32400</v>
      </c>
      <c r="N86" s="357"/>
      <c r="O86" s="357"/>
      <c r="P86" s="351"/>
    </row>
    <row r="87" spans="1:16" x14ac:dyDescent="0.4">
      <c r="A87" s="349">
        <v>206</v>
      </c>
      <c r="B87" s="350" t="str">
        <f t="shared" si="18"/>
        <v>オープンマンション高田馬場</v>
      </c>
      <c r="C87" s="351">
        <v>13</v>
      </c>
      <c r="D87" s="352" t="s">
        <v>422</v>
      </c>
      <c r="E87" s="353" t="s">
        <v>421</v>
      </c>
      <c r="F87" s="354">
        <v>804</v>
      </c>
      <c r="G87" s="355" t="str">
        <f t="shared" si="16"/>
        <v>駐車場</v>
      </c>
      <c r="H87" s="355" t="str">
        <f t="shared" si="17"/>
        <v>駐車場</v>
      </c>
      <c r="I87" s="356">
        <v>30000</v>
      </c>
      <c r="J87" s="356">
        <v>0</v>
      </c>
      <c r="K87" s="356">
        <v>2400</v>
      </c>
      <c r="L87" s="356">
        <f t="shared" si="19"/>
        <v>32400</v>
      </c>
      <c r="M87" s="356">
        <f t="shared" si="20"/>
        <v>32400</v>
      </c>
      <c r="N87" s="357"/>
      <c r="O87" s="357"/>
      <c r="P87" s="351"/>
    </row>
    <row r="88" spans="1:16" x14ac:dyDescent="0.4">
      <c r="A88" s="349">
        <v>206</v>
      </c>
      <c r="B88" s="350" t="str">
        <f t="shared" si="18"/>
        <v>オープンマンション高田馬場</v>
      </c>
      <c r="C88" s="351">
        <v>14</v>
      </c>
      <c r="D88" s="352" t="s">
        <v>423</v>
      </c>
      <c r="E88" s="353" t="s">
        <v>421</v>
      </c>
      <c r="F88" s="354">
        <v>804</v>
      </c>
      <c r="G88" s="355" t="str">
        <f t="shared" si="16"/>
        <v>駐車場</v>
      </c>
      <c r="H88" s="355" t="str">
        <f t="shared" si="17"/>
        <v>駐車場</v>
      </c>
      <c r="I88" s="356">
        <v>30000</v>
      </c>
      <c r="J88" s="356">
        <v>0</v>
      </c>
      <c r="K88" s="356">
        <v>2400</v>
      </c>
      <c r="L88" s="356">
        <f t="shared" si="19"/>
        <v>32400</v>
      </c>
      <c r="M88" s="356">
        <f t="shared" si="20"/>
        <v>32400</v>
      </c>
      <c r="N88" s="357"/>
      <c r="O88" s="357"/>
      <c r="P88" s="351"/>
    </row>
    <row r="89" spans="1:16" x14ac:dyDescent="0.4">
      <c r="A89" s="349">
        <v>207</v>
      </c>
      <c r="B89" s="350" t="str">
        <f t="shared" si="18"/>
        <v>無限レジデンス大塚</v>
      </c>
      <c r="C89" s="351">
        <v>1</v>
      </c>
      <c r="D89" s="352">
        <v>101</v>
      </c>
      <c r="E89" s="353">
        <v>20</v>
      </c>
      <c r="F89" s="354">
        <v>801</v>
      </c>
      <c r="G89" s="355" t="str">
        <f t="shared" si="16"/>
        <v>住居</v>
      </c>
      <c r="H89" s="355" t="str">
        <f t="shared" si="17"/>
        <v>住居</v>
      </c>
      <c r="I89" s="356">
        <v>50000</v>
      </c>
      <c r="J89" s="356">
        <v>3000</v>
      </c>
      <c r="K89" s="356">
        <v>0</v>
      </c>
      <c r="L89" s="356">
        <f>I89+J89+K89</f>
        <v>53000</v>
      </c>
      <c r="M89" s="356">
        <f>L89</f>
        <v>53000</v>
      </c>
      <c r="N89" s="357"/>
      <c r="O89" s="357"/>
      <c r="P89" s="351"/>
    </row>
    <row r="90" spans="1:16" x14ac:dyDescent="0.4">
      <c r="A90" s="349">
        <v>207</v>
      </c>
      <c r="B90" s="350" t="str">
        <f t="shared" si="18"/>
        <v>無限レジデンス大塚</v>
      </c>
      <c r="C90" s="351">
        <v>2</v>
      </c>
      <c r="D90" s="352">
        <v>102</v>
      </c>
      <c r="E90" s="353">
        <v>20</v>
      </c>
      <c r="F90" s="354">
        <v>801</v>
      </c>
      <c r="G90" s="355" t="str">
        <f t="shared" si="16"/>
        <v>住居</v>
      </c>
      <c r="H90" s="355" t="str">
        <f t="shared" si="17"/>
        <v>住居</v>
      </c>
      <c r="I90" s="356">
        <v>50000</v>
      </c>
      <c r="J90" s="356">
        <v>3000</v>
      </c>
      <c r="K90" s="356">
        <v>0</v>
      </c>
      <c r="L90" s="356">
        <f t="shared" ref="L90:L102" si="21">I90+J90+K90</f>
        <v>53000</v>
      </c>
      <c r="M90" s="356">
        <f>L90</f>
        <v>53000</v>
      </c>
      <c r="N90" s="357"/>
      <c r="O90" s="357"/>
      <c r="P90" s="351"/>
    </row>
    <row r="91" spans="1:16" x14ac:dyDescent="0.4">
      <c r="A91" s="349">
        <v>207</v>
      </c>
      <c r="B91" s="350" t="str">
        <f t="shared" si="18"/>
        <v>無限レジデンス大塚</v>
      </c>
      <c r="C91" s="351">
        <v>3</v>
      </c>
      <c r="D91" s="352">
        <v>103</v>
      </c>
      <c r="E91" s="353">
        <v>20</v>
      </c>
      <c r="F91" s="354">
        <v>801</v>
      </c>
      <c r="G91" s="355" t="str">
        <f t="shared" si="16"/>
        <v>住居</v>
      </c>
      <c r="H91" s="355" t="str">
        <f t="shared" si="17"/>
        <v>住居</v>
      </c>
      <c r="I91" s="356">
        <v>0</v>
      </c>
      <c r="J91" s="356">
        <v>0</v>
      </c>
      <c r="K91" s="356">
        <v>0</v>
      </c>
      <c r="L91" s="356">
        <f t="shared" si="21"/>
        <v>0</v>
      </c>
      <c r="M91" s="356">
        <v>60000</v>
      </c>
      <c r="N91" s="357">
        <v>1</v>
      </c>
      <c r="O91" s="357"/>
      <c r="P91" s="351" t="s">
        <v>415</v>
      </c>
    </row>
    <row r="92" spans="1:16" x14ac:dyDescent="0.4">
      <c r="A92" s="349">
        <v>207</v>
      </c>
      <c r="B92" s="350" t="str">
        <f t="shared" si="18"/>
        <v>無限レジデンス大塚</v>
      </c>
      <c r="C92" s="351">
        <v>4</v>
      </c>
      <c r="D92" s="352">
        <v>201</v>
      </c>
      <c r="E92" s="353">
        <v>20</v>
      </c>
      <c r="F92" s="354">
        <v>801</v>
      </c>
      <c r="G92" s="355" t="str">
        <f t="shared" si="16"/>
        <v>住居</v>
      </c>
      <c r="H92" s="355" t="str">
        <f t="shared" si="17"/>
        <v>住居</v>
      </c>
      <c r="I92" s="356">
        <v>0</v>
      </c>
      <c r="J92" s="356">
        <v>0</v>
      </c>
      <c r="K92" s="356">
        <v>0</v>
      </c>
      <c r="L92" s="356">
        <f t="shared" si="21"/>
        <v>0</v>
      </c>
      <c r="M92" s="356">
        <v>60000</v>
      </c>
      <c r="N92" s="357">
        <v>1</v>
      </c>
      <c r="O92" s="357"/>
      <c r="P92" s="351" t="s">
        <v>415</v>
      </c>
    </row>
    <row r="93" spans="1:16" x14ac:dyDescent="0.4">
      <c r="A93" s="349">
        <v>207</v>
      </c>
      <c r="B93" s="350" t="str">
        <f t="shared" si="18"/>
        <v>無限レジデンス大塚</v>
      </c>
      <c r="C93" s="351">
        <v>5</v>
      </c>
      <c r="D93" s="352">
        <v>202</v>
      </c>
      <c r="E93" s="353">
        <v>20</v>
      </c>
      <c r="F93" s="354">
        <v>801</v>
      </c>
      <c r="G93" s="355" t="str">
        <f t="shared" si="16"/>
        <v>住居</v>
      </c>
      <c r="H93" s="355" t="str">
        <f t="shared" si="17"/>
        <v>住居</v>
      </c>
      <c r="I93" s="356">
        <v>50000</v>
      </c>
      <c r="J93" s="356">
        <v>3000</v>
      </c>
      <c r="K93" s="356">
        <v>0</v>
      </c>
      <c r="L93" s="356">
        <f t="shared" si="21"/>
        <v>53000</v>
      </c>
      <c r="M93" s="356">
        <f>L93</f>
        <v>53000</v>
      </c>
      <c r="N93" s="357"/>
      <c r="O93" s="357"/>
      <c r="P93" s="351"/>
    </row>
    <row r="94" spans="1:16" x14ac:dyDescent="0.4">
      <c r="A94" s="349">
        <v>207</v>
      </c>
      <c r="B94" s="350" t="str">
        <f t="shared" si="18"/>
        <v>無限レジデンス大塚</v>
      </c>
      <c r="C94" s="351">
        <v>6</v>
      </c>
      <c r="D94" s="352">
        <v>203</v>
      </c>
      <c r="E94" s="353">
        <v>20</v>
      </c>
      <c r="F94" s="354">
        <v>807</v>
      </c>
      <c r="G94" s="355" t="str">
        <f t="shared" si="16"/>
        <v>倉庫</v>
      </c>
      <c r="H94" s="355" t="str">
        <f t="shared" si="17"/>
        <v>事務所/店舗</v>
      </c>
      <c r="I94" s="356">
        <v>50000</v>
      </c>
      <c r="J94" s="356">
        <v>0</v>
      </c>
      <c r="K94" s="356">
        <v>4000</v>
      </c>
      <c r="L94" s="356">
        <f t="shared" si="21"/>
        <v>54000</v>
      </c>
      <c r="M94" s="356">
        <f t="shared" ref="M94:M102" si="22">L94</f>
        <v>54000</v>
      </c>
      <c r="N94" s="357"/>
      <c r="O94" s="357"/>
      <c r="P94" s="351"/>
    </row>
    <row r="95" spans="1:16" x14ac:dyDescent="0.4">
      <c r="A95" s="349">
        <v>207</v>
      </c>
      <c r="B95" s="350" t="str">
        <f t="shared" si="18"/>
        <v>無限レジデンス大塚</v>
      </c>
      <c r="C95" s="351">
        <v>7</v>
      </c>
      <c r="D95" s="352">
        <v>301</v>
      </c>
      <c r="E95" s="353">
        <v>20</v>
      </c>
      <c r="F95" s="354">
        <v>803</v>
      </c>
      <c r="G95" s="355" t="str">
        <f t="shared" si="16"/>
        <v>店舗</v>
      </c>
      <c r="H95" s="355" t="str">
        <f t="shared" si="17"/>
        <v>事務所/店舗</v>
      </c>
      <c r="I95" s="356">
        <v>800000</v>
      </c>
      <c r="J95" s="356">
        <v>0</v>
      </c>
      <c r="K95" s="356">
        <f>I95*0.08</f>
        <v>64000</v>
      </c>
      <c r="L95" s="356">
        <f t="shared" si="21"/>
        <v>864000</v>
      </c>
      <c r="M95" s="356">
        <f t="shared" si="22"/>
        <v>864000</v>
      </c>
      <c r="N95" s="357"/>
      <c r="O95" s="357"/>
      <c r="P95" s="351"/>
    </row>
    <row r="96" spans="1:16" x14ac:dyDescent="0.4">
      <c r="A96" s="349">
        <v>207</v>
      </c>
      <c r="B96" s="350" t="str">
        <f t="shared" si="18"/>
        <v>無限レジデンス大塚</v>
      </c>
      <c r="C96" s="351">
        <v>8</v>
      </c>
      <c r="D96" s="352">
        <v>302</v>
      </c>
      <c r="E96" s="353">
        <v>20</v>
      </c>
      <c r="F96" s="354">
        <v>802</v>
      </c>
      <c r="G96" s="355" t="str">
        <f t="shared" si="16"/>
        <v>事務所</v>
      </c>
      <c r="H96" s="355" t="str">
        <f t="shared" si="17"/>
        <v>事務所/店舗</v>
      </c>
      <c r="I96" s="356">
        <v>250000</v>
      </c>
      <c r="J96" s="356">
        <v>0</v>
      </c>
      <c r="K96" s="356">
        <f>I96*0.08</f>
        <v>20000</v>
      </c>
      <c r="L96" s="356">
        <f t="shared" si="21"/>
        <v>270000</v>
      </c>
      <c r="M96" s="356">
        <f t="shared" si="22"/>
        <v>270000</v>
      </c>
      <c r="N96" s="357"/>
      <c r="O96" s="357"/>
      <c r="P96" s="351"/>
    </row>
    <row r="97" spans="1:16" x14ac:dyDescent="0.4">
      <c r="A97" s="349">
        <v>207</v>
      </c>
      <c r="B97" s="350" t="str">
        <f t="shared" si="18"/>
        <v>無限レジデンス大塚</v>
      </c>
      <c r="C97" s="351">
        <v>9</v>
      </c>
      <c r="D97" s="352" t="s">
        <v>424</v>
      </c>
      <c r="E97" s="353">
        <v>20</v>
      </c>
      <c r="F97" s="354">
        <v>808</v>
      </c>
      <c r="G97" s="355" t="str">
        <f t="shared" si="16"/>
        <v>民泊</v>
      </c>
      <c r="H97" s="355" t="str">
        <f t="shared" si="17"/>
        <v>オペレーショナル</v>
      </c>
      <c r="I97" s="356">
        <v>52000</v>
      </c>
      <c r="J97" s="356">
        <v>3000</v>
      </c>
      <c r="K97" s="356">
        <v>0</v>
      </c>
      <c r="L97" s="356">
        <f t="shared" si="21"/>
        <v>55000</v>
      </c>
      <c r="M97" s="356">
        <f t="shared" si="22"/>
        <v>55000</v>
      </c>
      <c r="N97" s="357"/>
      <c r="O97" s="357"/>
      <c r="P97" s="351"/>
    </row>
    <row r="98" spans="1:16" x14ac:dyDescent="0.4">
      <c r="A98" s="349">
        <v>207</v>
      </c>
      <c r="B98" s="350" t="str">
        <f t="shared" si="18"/>
        <v>無限レジデンス大塚</v>
      </c>
      <c r="C98" s="351">
        <v>10</v>
      </c>
      <c r="D98" s="352" t="s">
        <v>425</v>
      </c>
      <c r="E98" s="353">
        <v>20</v>
      </c>
      <c r="F98" s="354">
        <v>809</v>
      </c>
      <c r="G98" s="355" t="str">
        <f t="shared" si="16"/>
        <v>シェアハウス</v>
      </c>
      <c r="H98" s="355" t="str">
        <f t="shared" si="17"/>
        <v>オペレーショナル</v>
      </c>
      <c r="I98" s="356">
        <v>52000</v>
      </c>
      <c r="J98" s="356">
        <v>3000</v>
      </c>
      <c r="K98" s="356">
        <v>0</v>
      </c>
      <c r="L98" s="356">
        <f t="shared" si="21"/>
        <v>55000</v>
      </c>
      <c r="M98" s="356">
        <f t="shared" si="22"/>
        <v>55000</v>
      </c>
      <c r="N98" s="357"/>
      <c r="O98" s="357"/>
      <c r="P98" s="351"/>
    </row>
    <row r="99" spans="1:16" x14ac:dyDescent="0.4">
      <c r="A99" s="349">
        <v>207</v>
      </c>
      <c r="B99" s="350" t="str">
        <f t="shared" si="18"/>
        <v>無限レジデンス大塚</v>
      </c>
      <c r="C99" s="351">
        <v>11</v>
      </c>
      <c r="D99" s="352" t="s">
        <v>419</v>
      </c>
      <c r="E99" s="353" t="s">
        <v>421</v>
      </c>
      <c r="F99" s="354">
        <v>805</v>
      </c>
      <c r="G99" s="355" t="str">
        <f t="shared" si="16"/>
        <v>アンテナ</v>
      </c>
      <c r="H99" s="355" t="str">
        <f t="shared" si="17"/>
        <v>その他</v>
      </c>
      <c r="I99" s="356">
        <v>67000</v>
      </c>
      <c r="J99" s="356">
        <v>3000</v>
      </c>
      <c r="K99" s="356">
        <v>0</v>
      </c>
      <c r="L99" s="356">
        <f t="shared" si="21"/>
        <v>70000</v>
      </c>
      <c r="M99" s="356">
        <f t="shared" si="22"/>
        <v>70000</v>
      </c>
      <c r="N99" s="357"/>
      <c r="O99" s="357"/>
      <c r="P99" s="351"/>
    </row>
    <row r="100" spans="1:16" x14ac:dyDescent="0.4">
      <c r="A100" s="349">
        <v>207</v>
      </c>
      <c r="B100" s="350" t="str">
        <f t="shared" si="18"/>
        <v>無限レジデンス大塚</v>
      </c>
      <c r="C100" s="351">
        <v>12</v>
      </c>
      <c r="D100" s="352" t="s">
        <v>420</v>
      </c>
      <c r="E100" s="353" t="s">
        <v>421</v>
      </c>
      <c r="F100" s="354">
        <v>804</v>
      </c>
      <c r="G100" s="355" t="str">
        <f t="shared" ref="G100:G123" si="23">VLOOKUP(F100,id_list,2,FALSE)</f>
        <v>駐車場</v>
      </c>
      <c r="H100" s="355" t="str">
        <f t="shared" ref="H100:H123" si="24">VLOOKUP(F100,id_list,5,FALSE)</f>
        <v>駐車場</v>
      </c>
      <c r="I100" s="356">
        <v>30000</v>
      </c>
      <c r="J100" s="356">
        <v>0</v>
      </c>
      <c r="K100" s="356">
        <v>2400</v>
      </c>
      <c r="L100" s="356">
        <f t="shared" si="21"/>
        <v>32400</v>
      </c>
      <c r="M100" s="356">
        <f t="shared" si="22"/>
        <v>32400</v>
      </c>
      <c r="N100" s="357"/>
      <c r="O100" s="357"/>
      <c r="P100" s="351"/>
    </row>
    <row r="101" spans="1:16" x14ac:dyDescent="0.4">
      <c r="A101" s="349">
        <v>207</v>
      </c>
      <c r="B101" s="350" t="str">
        <f t="shared" si="18"/>
        <v>無限レジデンス大塚</v>
      </c>
      <c r="C101" s="351">
        <v>13</v>
      </c>
      <c r="D101" s="352" t="s">
        <v>422</v>
      </c>
      <c r="E101" s="353" t="s">
        <v>421</v>
      </c>
      <c r="F101" s="354">
        <v>804</v>
      </c>
      <c r="G101" s="355" t="str">
        <f t="shared" si="23"/>
        <v>駐車場</v>
      </c>
      <c r="H101" s="355" t="str">
        <f t="shared" si="24"/>
        <v>駐車場</v>
      </c>
      <c r="I101" s="356">
        <v>30000</v>
      </c>
      <c r="J101" s="356">
        <v>0</v>
      </c>
      <c r="K101" s="356">
        <v>2400</v>
      </c>
      <c r="L101" s="356">
        <f t="shared" si="21"/>
        <v>32400</v>
      </c>
      <c r="M101" s="356">
        <f t="shared" si="22"/>
        <v>32400</v>
      </c>
      <c r="N101" s="357"/>
      <c r="O101" s="357"/>
      <c r="P101" s="351"/>
    </row>
    <row r="102" spans="1:16" x14ac:dyDescent="0.4">
      <c r="A102" s="349">
        <v>207</v>
      </c>
      <c r="B102" s="350" t="str">
        <f t="shared" si="18"/>
        <v>無限レジデンス大塚</v>
      </c>
      <c r="C102" s="351">
        <v>14</v>
      </c>
      <c r="D102" s="352" t="s">
        <v>423</v>
      </c>
      <c r="E102" s="353" t="s">
        <v>421</v>
      </c>
      <c r="F102" s="354">
        <v>804</v>
      </c>
      <c r="G102" s="355" t="str">
        <f t="shared" si="23"/>
        <v>駐車場</v>
      </c>
      <c r="H102" s="355" t="str">
        <f t="shared" si="24"/>
        <v>駐車場</v>
      </c>
      <c r="I102" s="356">
        <v>30000</v>
      </c>
      <c r="J102" s="356">
        <v>0</v>
      </c>
      <c r="K102" s="356">
        <v>2400</v>
      </c>
      <c r="L102" s="356">
        <f t="shared" si="21"/>
        <v>32400</v>
      </c>
      <c r="M102" s="356">
        <f t="shared" si="22"/>
        <v>32400</v>
      </c>
      <c r="N102" s="357"/>
      <c r="O102" s="357"/>
      <c r="P102" s="351"/>
    </row>
    <row r="103" spans="1:16" x14ac:dyDescent="0.4">
      <c r="A103" s="349">
        <v>208</v>
      </c>
      <c r="B103" s="350" t="str">
        <f t="shared" si="18"/>
        <v>ＡＤレジデンス池袋</v>
      </c>
      <c r="C103" s="351">
        <v>1</v>
      </c>
      <c r="D103" s="352">
        <v>101</v>
      </c>
      <c r="E103" s="353">
        <v>20</v>
      </c>
      <c r="F103" s="354">
        <v>801</v>
      </c>
      <c r="G103" s="355" t="str">
        <f t="shared" si="23"/>
        <v>住居</v>
      </c>
      <c r="H103" s="355" t="str">
        <f t="shared" si="24"/>
        <v>住居</v>
      </c>
      <c r="I103" s="356">
        <v>50000</v>
      </c>
      <c r="J103" s="356">
        <v>3000</v>
      </c>
      <c r="K103" s="356">
        <v>0</v>
      </c>
      <c r="L103" s="356">
        <f>I103+J103+K103</f>
        <v>53000</v>
      </c>
      <c r="M103" s="356">
        <f>L103</f>
        <v>53000</v>
      </c>
      <c r="N103" s="357"/>
      <c r="O103" s="357"/>
      <c r="P103" s="351"/>
    </row>
    <row r="104" spans="1:16" x14ac:dyDescent="0.4">
      <c r="A104" s="349">
        <v>208</v>
      </c>
      <c r="B104" s="350" t="str">
        <f t="shared" si="18"/>
        <v>ＡＤレジデンス池袋</v>
      </c>
      <c r="C104" s="351">
        <v>2</v>
      </c>
      <c r="D104" s="352">
        <v>102</v>
      </c>
      <c r="E104" s="353">
        <v>20</v>
      </c>
      <c r="F104" s="354">
        <v>801</v>
      </c>
      <c r="G104" s="355" t="str">
        <f t="shared" si="23"/>
        <v>住居</v>
      </c>
      <c r="H104" s="355" t="str">
        <f t="shared" si="24"/>
        <v>住居</v>
      </c>
      <c r="I104" s="356">
        <v>50000</v>
      </c>
      <c r="J104" s="356">
        <v>3000</v>
      </c>
      <c r="K104" s="356">
        <v>0</v>
      </c>
      <c r="L104" s="356">
        <f t="shared" ref="L104:L116" si="25">I104+J104+K104</f>
        <v>53000</v>
      </c>
      <c r="M104" s="356">
        <f>L104</f>
        <v>53000</v>
      </c>
      <c r="N104" s="357"/>
      <c r="O104" s="357"/>
      <c r="P104" s="351"/>
    </row>
    <row r="105" spans="1:16" x14ac:dyDescent="0.4">
      <c r="A105" s="349">
        <v>208</v>
      </c>
      <c r="B105" s="350" t="str">
        <f t="shared" si="18"/>
        <v>ＡＤレジデンス池袋</v>
      </c>
      <c r="C105" s="351">
        <v>3</v>
      </c>
      <c r="D105" s="352">
        <v>103</v>
      </c>
      <c r="E105" s="353">
        <v>20</v>
      </c>
      <c r="F105" s="354">
        <v>801</v>
      </c>
      <c r="G105" s="355" t="str">
        <f t="shared" si="23"/>
        <v>住居</v>
      </c>
      <c r="H105" s="355" t="str">
        <f t="shared" si="24"/>
        <v>住居</v>
      </c>
      <c r="I105" s="356">
        <v>0</v>
      </c>
      <c r="J105" s="356">
        <v>0</v>
      </c>
      <c r="K105" s="356">
        <v>0</v>
      </c>
      <c r="L105" s="356">
        <f t="shared" si="25"/>
        <v>0</v>
      </c>
      <c r="M105" s="356">
        <v>60000</v>
      </c>
      <c r="N105" s="357">
        <v>1</v>
      </c>
      <c r="O105" s="357"/>
      <c r="P105" s="351" t="s">
        <v>415</v>
      </c>
    </row>
    <row r="106" spans="1:16" x14ac:dyDescent="0.4">
      <c r="A106" s="349">
        <v>208</v>
      </c>
      <c r="B106" s="350" t="str">
        <f t="shared" si="18"/>
        <v>ＡＤレジデンス池袋</v>
      </c>
      <c r="C106" s="351">
        <v>4</v>
      </c>
      <c r="D106" s="352">
        <v>201</v>
      </c>
      <c r="E106" s="353">
        <v>20</v>
      </c>
      <c r="F106" s="354">
        <v>801</v>
      </c>
      <c r="G106" s="355" t="str">
        <f t="shared" si="23"/>
        <v>住居</v>
      </c>
      <c r="H106" s="355" t="str">
        <f t="shared" si="24"/>
        <v>住居</v>
      </c>
      <c r="I106" s="356">
        <v>0</v>
      </c>
      <c r="J106" s="356">
        <v>0</v>
      </c>
      <c r="K106" s="356">
        <v>0</v>
      </c>
      <c r="L106" s="356">
        <f t="shared" si="25"/>
        <v>0</v>
      </c>
      <c r="M106" s="356">
        <v>60000</v>
      </c>
      <c r="N106" s="357">
        <v>1</v>
      </c>
      <c r="O106" s="357"/>
      <c r="P106" s="351" t="s">
        <v>415</v>
      </c>
    </row>
    <row r="107" spans="1:16" x14ac:dyDescent="0.4">
      <c r="A107" s="349">
        <v>208</v>
      </c>
      <c r="B107" s="350" t="str">
        <f t="shared" si="18"/>
        <v>ＡＤレジデンス池袋</v>
      </c>
      <c r="C107" s="351">
        <v>5</v>
      </c>
      <c r="D107" s="352">
        <v>202</v>
      </c>
      <c r="E107" s="353">
        <v>20</v>
      </c>
      <c r="F107" s="354">
        <v>801</v>
      </c>
      <c r="G107" s="355" t="str">
        <f t="shared" si="23"/>
        <v>住居</v>
      </c>
      <c r="H107" s="355" t="str">
        <f t="shared" si="24"/>
        <v>住居</v>
      </c>
      <c r="I107" s="356">
        <v>50000</v>
      </c>
      <c r="J107" s="356">
        <v>3000</v>
      </c>
      <c r="K107" s="356">
        <v>0</v>
      </c>
      <c r="L107" s="356">
        <f t="shared" si="25"/>
        <v>53000</v>
      </c>
      <c r="M107" s="356">
        <f>L107</f>
        <v>53000</v>
      </c>
      <c r="N107" s="357"/>
      <c r="O107" s="357"/>
      <c r="P107" s="351"/>
    </row>
    <row r="108" spans="1:16" x14ac:dyDescent="0.4">
      <c r="A108" s="349">
        <v>208</v>
      </c>
      <c r="B108" s="350" t="str">
        <f t="shared" si="18"/>
        <v>ＡＤレジデンス池袋</v>
      </c>
      <c r="C108" s="351">
        <v>6</v>
      </c>
      <c r="D108" s="352">
        <v>203</v>
      </c>
      <c r="E108" s="353">
        <v>20</v>
      </c>
      <c r="F108" s="354">
        <v>807</v>
      </c>
      <c r="G108" s="355" t="str">
        <f t="shared" si="23"/>
        <v>倉庫</v>
      </c>
      <c r="H108" s="355" t="str">
        <f t="shared" si="24"/>
        <v>事務所/店舗</v>
      </c>
      <c r="I108" s="356">
        <v>50000</v>
      </c>
      <c r="J108" s="356">
        <v>0</v>
      </c>
      <c r="K108" s="356">
        <v>4000</v>
      </c>
      <c r="L108" s="356">
        <f t="shared" si="25"/>
        <v>54000</v>
      </c>
      <c r="M108" s="356">
        <f t="shared" ref="M108:M116" si="26">L108</f>
        <v>54000</v>
      </c>
      <c r="N108" s="357"/>
      <c r="O108" s="357"/>
      <c r="P108" s="351"/>
    </row>
    <row r="109" spans="1:16" x14ac:dyDescent="0.4">
      <c r="A109" s="349">
        <v>208</v>
      </c>
      <c r="B109" s="350" t="str">
        <f t="shared" si="18"/>
        <v>ＡＤレジデンス池袋</v>
      </c>
      <c r="C109" s="351">
        <v>7</v>
      </c>
      <c r="D109" s="352">
        <v>301</v>
      </c>
      <c r="E109" s="353">
        <v>20</v>
      </c>
      <c r="F109" s="354">
        <v>803</v>
      </c>
      <c r="G109" s="355" t="str">
        <f t="shared" si="23"/>
        <v>店舗</v>
      </c>
      <c r="H109" s="355" t="str">
        <f t="shared" si="24"/>
        <v>事務所/店舗</v>
      </c>
      <c r="I109" s="356">
        <v>800000</v>
      </c>
      <c r="J109" s="356">
        <v>0</v>
      </c>
      <c r="K109" s="356">
        <f>I109*0.08</f>
        <v>64000</v>
      </c>
      <c r="L109" s="356">
        <f t="shared" si="25"/>
        <v>864000</v>
      </c>
      <c r="M109" s="356">
        <f t="shared" si="26"/>
        <v>864000</v>
      </c>
      <c r="N109" s="357"/>
      <c r="O109" s="357"/>
      <c r="P109" s="351"/>
    </row>
    <row r="110" spans="1:16" x14ac:dyDescent="0.4">
      <c r="A110" s="349">
        <v>208</v>
      </c>
      <c r="B110" s="350" t="str">
        <f t="shared" si="18"/>
        <v>ＡＤレジデンス池袋</v>
      </c>
      <c r="C110" s="351">
        <v>8</v>
      </c>
      <c r="D110" s="352">
        <v>302</v>
      </c>
      <c r="E110" s="353">
        <v>20</v>
      </c>
      <c r="F110" s="354">
        <v>802</v>
      </c>
      <c r="G110" s="355" t="str">
        <f t="shared" si="23"/>
        <v>事務所</v>
      </c>
      <c r="H110" s="355" t="str">
        <f t="shared" si="24"/>
        <v>事務所/店舗</v>
      </c>
      <c r="I110" s="356">
        <v>250000</v>
      </c>
      <c r="J110" s="356">
        <v>0</v>
      </c>
      <c r="K110" s="356">
        <f>I110*0.08</f>
        <v>20000</v>
      </c>
      <c r="L110" s="356">
        <f t="shared" si="25"/>
        <v>270000</v>
      </c>
      <c r="M110" s="356">
        <f t="shared" si="26"/>
        <v>270000</v>
      </c>
      <c r="N110" s="357"/>
      <c r="O110" s="357"/>
      <c r="P110" s="351"/>
    </row>
    <row r="111" spans="1:16" x14ac:dyDescent="0.4">
      <c r="A111" s="349">
        <v>208</v>
      </c>
      <c r="B111" s="350" t="str">
        <f t="shared" si="18"/>
        <v>ＡＤレジデンス池袋</v>
      </c>
      <c r="C111" s="351">
        <v>9</v>
      </c>
      <c r="D111" s="352" t="s">
        <v>424</v>
      </c>
      <c r="E111" s="353">
        <v>20</v>
      </c>
      <c r="F111" s="354">
        <v>808</v>
      </c>
      <c r="G111" s="355" t="str">
        <f t="shared" si="23"/>
        <v>民泊</v>
      </c>
      <c r="H111" s="355" t="str">
        <f t="shared" si="24"/>
        <v>オペレーショナル</v>
      </c>
      <c r="I111" s="356">
        <v>52000</v>
      </c>
      <c r="J111" s="356">
        <v>3000</v>
      </c>
      <c r="K111" s="356">
        <v>0</v>
      </c>
      <c r="L111" s="356">
        <f t="shared" si="25"/>
        <v>55000</v>
      </c>
      <c r="M111" s="356">
        <f t="shared" si="26"/>
        <v>55000</v>
      </c>
      <c r="N111" s="357"/>
      <c r="O111" s="357"/>
      <c r="P111" s="351"/>
    </row>
    <row r="112" spans="1:16" x14ac:dyDescent="0.4">
      <c r="A112" s="349">
        <v>208</v>
      </c>
      <c r="B112" s="350" t="str">
        <f t="shared" si="18"/>
        <v>ＡＤレジデンス池袋</v>
      </c>
      <c r="C112" s="351">
        <v>10</v>
      </c>
      <c r="D112" s="352" t="s">
        <v>425</v>
      </c>
      <c r="E112" s="353">
        <v>20</v>
      </c>
      <c r="F112" s="354">
        <v>809</v>
      </c>
      <c r="G112" s="355" t="str">
        <f t="shared" si="23"/>
        <v>シェアハウス</v>
      </c>
      <c r="H112" s="355" t="str">
        <f t="shared" si="24"/>
        <v>オペレーショナル</v>
      </c>
      <c r="I112" s="356">
        <v>52000</v>
      </c>
      <c r="J112" s="356">
        <v>3000</v>
      </c>
      <c r="K112" s="356">
        <v>0</v>
      </c>
      <c r="L112" s="356">
        <f t="shared" si="25"/>
        <v>55000</v>
      </c>
      <c r="M112" s="356">
        <f t="shared" si="26"/>
        <v>55000</v>
      </c>
      <c r="N112" s="357"/>
      <c r="O112" s="357"/>
      <c r="P112" s="351"/>
    </row>
    <row r="113" spans="1:16" x14ac:dyDescent="0.4">
      <c r="A113" s="349">
        <v>208</v>
      </c>
      <c r="B113" s="350" t="str">
        <f t="shared" si="18"/>
        <v>ＡＤレジデンス池袋</v>
      </c>
      <c r="C113" s="351">
        <v>11</v>
      </c>
      <c r="D113" s="352" t="s">
        <v>419</v>
      </c>
      <c r="E113" s="353" t="s">
        <v>421</v>
      </c>
      <c r="F113" s="354">
        <v>805</v>
      </c>
      <c r="G113" s="355" t="str">
        <f t="shared" si="23"/>
        <v>アンテナ</v>
      </c>
      <c r="H113" s="355" t="str">
        <f t="shared" si="24"/>
        <v>その他</v>
      </c>
      <c r="I113" s="356">
        <v>67000</v>
      </c>
      <c r="J113" s="356">
        <v>3000</v>
      </c>
      <c r="K113" s="356">
        <v>0</v>
      </c>
      <c r="L113" s="356">
        <f t="shared" si="25"/>
        <v>70000</v>
      </c>
      <c r="M113" s="356">
        <f t="shared" si="26"/>
        <v>70000</v>
      </c>
      <c r="N113" s="357"/>
      <c r="O113" s="357"/>
      <c r="P113" s="351"/>
    </row>
    <row r="114" spans="1:16" x14ac:dyDescent="0.4">
      <c r="A114" s="349">
        <v>208</v>
      </c>
      <c r="B114" s="350" t="str">
        <f t="shared" si="18"/>
        <v>ＡＤレジデンス池袋</v>
      </c>
      <c r="C114" s="351">
        <v>12</v>
      </c>
      <c r="D114" s="352" t="s">
        <v>420</v>
      </c>
      <c r="E114" s="353" t="s">
        <v>421</v>
      </c>
      <c r="F114" s="354">
        <v>804</v>
      </c>
      <c r="G114" s="355" t="str">
        <f t="shared" si="23"/>
        <v>駐車場</v>
      </c>
      <c r="H114" s="355" t="str">
        <f t="shared" si="24"/>
        <v>駐車場</v>
      </c>
      <c r="I114" s="356">
        <v>30000</v>
      </c>
      <c r="J114" s="356">
        <v>0</v>
      </c>
      <c r="K114" s="356">
        <v>2400</v>
      </c>
      <c r="L114" s="356">
        <f t="shared" si="25"/>
        <v>32400</v>
      </c>
      <c r="M114" s="356">
        <f t="shared" si="26"/>
        <v>32400</v>
      </c>
      <c r="N114" s="357"/>
      <c r="O114" s="357"/>
      <c r="P114" s="351"/>
    </row>
    <row r="115" spans="1:16" x14ac:dyDescent="0.4">
      <c r="A115" s="349">
        <v>208</v>
      </c>
      <c r="B115" s="350" t="str">
        <f t="shared" si="18"/>
        <v>ＡＤレジデンス池袋</v>
      </c>
      <c r="C115" s="351">
        <v>13</v>
      </c>
      <c r="D115" s="352" t="s">
        <v>422</v>
      </c>
      <c r="E115" s="353" t="s">
        <v>421</v>
      </c>
      <c r="F115" s="354">
        <v>804</v>
      </c>
      <c r="G115" s="355" t="str">
        <f t="shared" si="23"/>
        <v>駐車場</v>
      </c>
      <c r="H115" s="355" t="str">
        <f t="shared" si="24"/>
        <v>駐車場</v>
      </c>
      <c r="I115" s="356">
        <v>30000</v>
      </c>
      <c r="J115" s="356">
        <v>0</v>
      </c>
      <c r="K115" s="356">
        <v>2400</v>
      </c>
      <c r="L115" s="356">
        <f t="shared" si="25"/>
        <v>32400</v>
      </c>
      <c r="M115" s="356">
        <f t="shared" si="26"/>
        <v>32400</v>
      </c>
      <c r="N115" s="357"/>
      <c r="O115" s="357"/>
      <c r="P115" s="351"/>
    </row>
    <row r="116" spans="1:16" x14ac:dyDescent="0.4">
      <c r="A116" s="349">
        <v>208</v>
      </c>
      <c r="B116" s="350" t="str">
        <f t="shared" si="18"/>
        <v>ＡＤレジデンス池袋</v>
      </c>
      <c r="C116" s="351">
        <v>14</v>
      </c>
      <c r="D116" s="352" t="s">
        <v>423</v>
      </c>
      <c r="E116" s="353" t="s">
        <v>421</v>
      </c>
      <c r="F116" s="354">
        <v>804</v>
      </c>
      <c r="G116" s="355" t="str">
        <f t="shared" si="23"/>
        <v>駐車場</v>
      </c>
      <c r="H116" s="355" t="str">
        <f t="shared" si="24"/>
        <v>駐車場</v>
      </c>
      <c r="I116" s="356">
        <v>30000</v>
      </c>
      <c r="J116" s="356">
        <v>0</v>
      </c>
      <c r="K116" s="356">
        <v>2400</v>
      </c>
      <c r="L116" s="356">
        <f t="shared" si="25"/>
        <v>32400</v>
      </c>
      <c r="M116" s="356">
        <f t="shared" si="26"/>
        <v>32400</v>
      </c>
      <c r="N116" s="357"/>
      <c r="O116" s="357"/>
      <c r="P116" s="351"/>
    </row>
    <row r="117" spans="1:16" x14ac:dyDescent="0.4">
      <c r="A117" s="349">
        <v>301</v>
      </c>
      <c r="B117" s="350" t="str">
        <f t="shared" si="18"/>
        <v>かぼちゃタワー101</v>
      </c>
      <c r="C117" s="351">
        <v>1</v>
      </c>
      <c r="D117" s="352">
        <v>101</v>
      </c>
      <c r="E117" s="353">
        <v>20</v>
      </c>
      <c r="F117" s="354">
        <v>801</v>
      </c>
      <c r="G117" s="355" t="str">
        <f t="shared" si="23"/>
        <v>住居</v>
      </c>
      <c r="H117" s="355" t="str">
        <f t="shared" si="24"/>
        <v>住居</v>
      </c>
      <c r="I117" s="356">
        <v>300000</v>
      </c>
      <c r="J117" s="356">
        <v>3000</v>
      </c>
      <c r="K117" s="356">
        <v>0</v>
      </c>
      <c r="L117" s="356">
        <f>SUM(I117:K117)</f>
        <v>303000</v>
      </c>
      <c r="M117" s="356">
        <f>L117</f>
        <v>303000</v>
      </c>
      <c r="N117" s="357"/>
      <c r="O117" s="357"/>
      <c r="P117" s="351"/>
    </row>
    <row r="118" spans="1:16" x14ac:dyDescent="0.4">
      <c r="A118" s="349">
        <v>302</v>
      </c>
      <c r="B118" s="350" t="str">
        <f t="shared" si="18"/>
        <v>かぼちゃタワー102</v>
      </c>
      <c r="C118" s="351">
        <v>1</v>
      </c>
      <c r="D118" s="352" t="s">
        <v>427</v>
      </c>
      <c r="E118" s="353">
        <v>30</v>
      </c>
      <c r="F118" s="354">
        <v>801</v>
      </c>
      <c r="G118" s="355" t="str">
        <f t="shared" si="23"/>
        <v>住居</v>
      </c>
      <c r="H118" s="355" t="str">
        <f t="shared" si="24"/>
        <v>住居</v>
      </c>
      <c r="I118" s="356">
        <v>300000</v>
      </c>
      <c r="J118" s="356">
        <v>5000</v>
      </c>
      <c r="K118" s="356">
        <v>0</v>
      </c>
      <c r="L118" s="356">
        <f>I118+J118+K118</f>
        <v>305000</v>
      </c>
      <c r="M118" s="356">
        <f t="shared" ref="M118:M121" si="27">L118</f>
        <v>305000</v>
      </c>
      <c r="N118" s="357"/>
      <c r="O118" s="357"/>
      <c r="P118" s="351"/>
    </row>
    <row r="119" spans="1:16" x14ac:dyDescent="0.4">
      <c r="A119" s="349">
        <v>303</v>
      </c>
      <c r="B119" s="350" t="str">
        <f t="shared" si="18"/>
        <v>ブリリア目白201</v>
      </c>
      <c r="C119" s="351">
        <v>1</v>
      </c>
      <c r="D119" s="352" t="s">
        <v>428</v>
      </c>
      <c r="E119" s="353">
        <v>35</v>
      </c>
      <c r="F119" s="354">
        <v>801</v>
      </c>
      <c r="G119" s="355" t="str">
        <f t="shared" si="23"/>
        <v>住居</v>
      </c>
      <c r="H119" s="355" t="str">
        <f t="shared" si="24"/>
        <v>住居</v>
      </c>
      <c r="I119" s="356">
        <v>300000</v>
      </c>
      <c r="J119" s="356">
        <v>5000</v>
      </c>
      <c r="K119" s="356">
        <v>0</v>
      </c>
      <c r="L119" s="356">
        <f t="shared" ref="L119:L121" si="28">I119+J119+K119</f>
        <v>305000</v>
      </c>
      <c r="M119" s="356">
        <f t="shared" si="27"/>
        <v>305000</v>
      </c>
      <c r="N119" s="357"/>
      <c r="O119" s="357"/>
      <c r="P119" s="351"/>
    </row>
    <row r="120" spans="1:16" x14ac:dyDescent="0.4">
      <c r="A120" s="349">
        <v>304</v>
      </c>
      <c r="B120" s="350" t="str">
        <f t="shared" si="18"/>
        <v>プラウド目白202</v>
      </c>
      <c r="C120" s="351">
        <v>1</v>
      </c>
      <c r="D120" s="352" t="s">
        <v>429</v>
      </c>
      <c r="E120" s="353">
        <v>40</v>
      </c>
      <c r="F120" s="354">
        <v>801</v>
      </c>
      <c r="G120" s="355" t="str">
        <f t="shared" si="23"/>
        <v>住居</v>
      </c>
      <c r="H120" s="355" t="str">
        <f t="shared" si="24"/>
        <v>住居</v>
      </c>
      <c r="I120" s="356">
        <v>300000</v>
      </c>
      <c r="J120" s="356">
        <v>5000</v>
      </c>
      <c r="K120" s="356">
        <v>0</v>
      </c>
      <c r="L120" s="356">
        <f t="shared" si="28"/>
        <v>305000</v>
      </c>
      <c r="M120" s="356">
        <f t="shared" si="27"/>
        <v>305000</v>
      </c>
      <c r="N120" s="357"/>
      <c r="O120" s="357"/>
      <c r="P120" s="351"/>
    </row>
    <row r="121" spans="1:16" x14ac:dyDescent="0.4">
      <c r="A121" s="349">
        <v>305</v>
      </c>
      <c r="B121" s="350" t="str">
        <f t="shared" si="18"/>
        <v>パークホームズ目白203</v>
      </c>
      <c r="C121" s="351">
        <v>1</v>
      </c>
      <c r="D121" s="352" t="s">
        <v>430</v>
      </c>
      <c r="E121" s="353">
        <v>50</v>
      </c>
      <c r="F121" s="354">
        <v>801</v>
      </c>
      <c r="G121" s="355" t="str">
        <f t="shared" si="23"/>
        <v>住居</v>
      </c>
      <c r="H121" s="355" t="str">
        <f t="shared" si="24"/>
        <v>住居</v>
      </c>
      <c r="I121" s="356">
        <v>300000</v>
      </c>
      <c r="J121" s="356">
        <v>5000</v>
      </c>
      <c r="K121" s="356">
        <v>0</v>
      </c>
      <c r="L121" s="356">
        <f t="shared" si="28"/>
        <v>305000</v>
      </c>
      <c r="M121" s="356">
        <f t="shared" si="27"/>
        <v>305000</v>
      </c>
      <c r="N121" s="357"/>
      <c r="O121" s="357"/>
      <c r="P121" s="351"/>
    </row>
    <row r="122" spans="1:16" x14ac:dyDescent="0.4">
      <c r="A122" s="349">
        <v>306</v>
      </c>
      <c r="B122" s="350" t="str">
        <f t="shared" si="18"/>
        <v>六本木ヒルズB棟3099</v>
      </c>
      <c r="C122" s="351">
        <v>1</v>
      </c>
      <c r="D122" s="352" t="s">
        <v>431</v>
      </c>
      <c r="E122" s="353">
        <v>100</v>
      </c>
      <c r="F122" s="354">
        <v>801</v>
      </c>
      <c r="G122" s="355" t="str">
        <f t="shared" si="23"/>
        <v>住居</v>
      </c>
      <c r="H122" s="355" t="str">
        <f t="shared" si="24"/>
        <v>住居</v>
      </c>
      <c r="I122" s="356">
        <v>0</v>
      </c>
      <c r="J122" s="356">
        <v>0</v>
      </c>
      <c r="K122" s="356">
        <v>0</v>
      </c>
      <c r="L122" s="356">
        <v>0</v>
      </c>
      <c r="M122" s="356">
        <v>300000</v>
      </c>
      <c r="N122" s="357"/>
      <c r="O122" s="357">
        <v>1</v>
      </c>
      <c r="P122" s="351" t="s">
        <v>418</v>
      </c>
    </row>
    <row r="123" spans="1:16" x14ac:dyDescent="0.4">
      <c r="A123" s="349">
        <v>306</v>
      </c>
      <c r="B123" s="350" t="str">
        <f t="shared" si="18"/>
        <v>六本木ヒルズB棟3099</v>
      </c>
      <c r="C123" s="351">
        <v>1</v>
      </c>
      <c r="D123" s="352" t="s">
        <v>432</v>
      </c>
      <c r="E123" s="353" t="s">
        <v>421</v>
      </c>
      <c r="F123" s="354">
        <v>804</v>
      </c>
      <c r="G123" s="355" t="str">
        <f t="shared" si="23"/>
        <v>駐車場</v>
      </c>
      <c r="H123" s="355" t="str">
        <f t="shared" si="24"/>
        <v>駐車場</v>
      </c>
      <c r="I123" s="356">
        <v>0</v>
      </c>
      <c r="J123" s="356">
        <v>0</v>
      </c>
      <c r="K123" s="356">
        <v>0</v>
      </c>
      <c r="L123" s="356">
        <v>0</v>
      </c>
      <c r="M123" s="356">
        <v>50000</v>
      </c>
      <c r="N123" s="357"/>
      <c r="O123" s="357">
        <v>1</v>
      </c>
      <c r="P123" s="351" t="s">
        <v>418</v>
      </c>
    </row>
  </sheetData>
  <mergeCells count="1">
    <mergeCell ref="A1:C1"/>
  </mergeCells>
  <phoneticPr fontId="4"/>
  <conditionalFormatting sqref="A117:P122 A4:P32">
    <cfRule type="expression" dxfId="398" priority="39">
      <formula>MOD($A4,2)=1</formula>
    </cfRule>
  </conditionalFormatting>
  <conditionalFormatting sqref="A33:H46 N37:P46 N33:P34">
    <cfRule type="expression" dxfId="397" priority="38">
      <formula>MOD($A33,2)=1</formula>
    </cfRule>
  </conditionalFormatting>
  <conditionalFormatting sqref="A47:H60 N51:P60 N47:P48">
    <cfRule type="expression" dxfId="396" priority="37">
      <formula>MOD($A47,2)=1</formula>
    </cfRule>
  </conditionalFormatting>
  <conditionalFormatting sqref="A61:H74 N65:P74 N61:P62">
    <cfRule type="expression" dxfId="395" priority="36">
      <formula>MOD($A61,2)=1</formula>
    </cfRule>
  </conditionalFormatting>
  <conditionalFormatting sqref="A75:H88 N79:P88 N75:P76">
    <cfRule type="expression" dxfId="394" priority="35">
      <formula>MOD($A75,2)=1</formula>
    </cfRule>
  </conditionalFormatting>
  <conditionalFormatting sqref="A89:H102 N93:P102 N89:P90">
    <cfRule type="expression" dxfId="393" priority="34">
      <formula>MOD($A89,2)=1</formula>
    </cfRule>
  </conditionalFormatting>
  <conditionalFormatting sqref="A118 A103:H116 N107:P116 N103:P104">
    <cfRule type="expression" dxfId="392" priority="33">
      <formula>MOD($A103,2)=1</formula>
    </cfRule>
  </conditionalFormatting>
  <conditionalFormatting sqref="A123">
    <cfRule type="expression" dxfId="391" priority="31">
      <formula>MOD($A123,2)=1</formula>
    </cfRule>
  </conditionalFormatting>
  <conditionalFormatting sqref="B123:N123">
    <cfRule type="expression" dxfId="390" priority="30">
      <formula>MOD($A123,2)=1</formula>
    </cfRule>
  </conditionalFormatting>
  <conditionalFormatting sqref="O123:P123">
    <cfRule type="expression" dxfId="389" priority="29">
      <formula>MOD($A123,2)=1</formula>
    </cfRule>
  </conditionalFormatting>
  <conditionalFormatting sqref="N35:P35">
    <cfRule type="expression" dxfId="388" priority="28">
      <formula>MOD($A35,2)=1</formula>
    </cfRule>
  </conditionalFormatting>
  <conditionalFormatting sqref="N36:P36">
    <cfRule type="expression" dxfId="387" priority="27">
      <formula>MOD($A36,2)=1</formula>
    </cfRule>
  </conditionalFormatting>
  <conditionalFormatting sqref="N49:P49">
    <cfRule type="expression" dxfId="386" priority="26">
      <formula>MOD($A49,2)=1</formula>
    </cfRule>
  </conditionalFormatting>
  <conditionalFormatting sqref="N50:P50">
    <cfRule type="expression" dxfId="385" priority="25">
      <formula>MOD($A50,2)=1</formula>
    </cfRule>
  </conditionalFormatting>
  <conditionalFormatting sqref="N63:P63">
    <cfRule type="expression" dxfId="384" priority="24">
      <formula>MOD($A63,2)=1</formula>
    </cfRule>
  </conditionalFormatting>
  <conditionalFormatting sqref="N64:P64">
    <cfRule type="expression" dxfId="383" priority="23">
      <formula>MOD($A64,2)=1</formula>
    </cfRule>
  </conditionalFormatting>
  <conditionalFormatting sqref="N77:P77">
    <cfRule type="expression" dxfId="382" priority="22">
      <formula>MOD($A77,2)=1</formula>
    </cfRule>
  </conditionalFormatting>
  <conditionalFormatting sqref="N78:P78">
    <cfRule type="expression" dxfId="381" priority="21">
      <formula>MOD($A78,2)=1</formula>
    </cfRule>
  </conditionalFormatting>
  <conditionalFormatting sqref="N91:P91">
    <cfRule type="expression" dxfId="380" priority="20">
      <formula>MOD($A91,2)=1</formula>
    </cfRule>
  </conditionalFormatting>
  <conditionalFormatting sqref="N92:P92">
    <cfRule type="expression" dxfId="379" priority="19">
      <formula>MOD($A92,2)=1</formula>
    </cfRule>
  </conditionalFormatting>
  <conditionalFormatting sqref="N105:P105">
    <cfRule type="expression" dxfId="378" priority="18">
      <formula>MOD($A105,2)=1</formula>
    </cfRule>
  </conditionalFormatting>
  <conditionalFormatting sqref="N106:P106">
    <cfRule type="expression" dxfId="377" priority="17">
      <formula>MOD($A106,2)=1</formula>
    </cfRule>
  </conditionalFormatting>
  <conditionalFormatting sqref="I47:M60">
    <cfRule type="expression" dxfId="376" priority="6">
      <formula>MOD($A47,2)=1</formula>
    </cfRule>
  </conditionalFormatting>
  <conditionalFormatting sqref="I61:M74">
    <cfRule type="expression" dxfId="375" priority="5">
      <formula>MOD($A61,2)=1</formula>
    </cfRule>
  </conditionalFormatting>
  <conditionalFormatting sqref="I75:M88">
    <cfRule type="expression" dxfId="374" priority="3">
      <formula>MOD($A75,2)=1</formula>
    </cfRule>
  </conditionalFormatting>
  <conditionalFormatting sqref="I33:M46">
    <cfRule type="expression" dxfId="373" priority="7">
      <formula>MOD($A33,2)=1</formula>
    </cfRule>
  </conditionalFormatting>
  <conditionalFormatting sqref="I103:M116">
    <cfRule type="expression" dxfId="372" priority="1">
      <formula>MOD($A103,2)=1</formula>
    </cfRule>
  </conditionalFormatting>
  <conditionalFormatting sqref="I89:M102">
    <cfRule type="expression" dxfId="371" priority="2">
      <formula>MOD($A89,2)=1</formula>
    </cfRule>
  </conditionalFormatting>
  <pageMargins left="0.23622047244094491" right="0.23622047244094491" top="0.74803149606299213" bottom="0.74803149606299213" header="0.31496062992125984" footer="0.31496062992125984"/>
  <pageSetup paperSize="8" scale="83"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12</vt:i4>
      </vt:variant>
    </vt:vector>
  </HeadingPairs>
  <TitlesOfParts>
    <vt:vector size="32" baseType="lpstr">
      <vt:lpstr>ID</vt:lpstr>
      <vt:lpstr>Pivot</vt:lpstr>
      <vt:lpstr>企業概要</vt:lpstr>
      <vt:lpstr>物件概要</vt:lpstr>
      <vt:lpstr>借入サマリー</vt:lpstr>
      <vt:lpstr>借入金一覧</vt:lpstr>
      <vt:lpstr>減価償却</vt:lpstr>
      <vt:lpstr>賃料集計</vt:lpstr>
      <vt:lpstr>賃料内訳</vt:lpstr>
      <vt:lpstr>BM費用集計</vt:lpstr>
      <vt:lpstr>筆一覧と評価額</vt:lpstr>
      <vt:lpstr>相続関係図</vt:lpstr>
      <vt:lpstr>2015末PL</vt:lpstr>
      <vt:lpstr>2015末BS</vt:lpstr>
      <vt:lpstr>2016末PL</vt:lpstr>
      <vt:lpstr>2016末BS</vt:lpstr>
      <vt:lpstr>2017末PL</vt:lpstr>
      <vt:lpstr>2017末BS</vt:lpstr>
      <vt:lpstr>2018-06試算表PL</vt:lpstr>
      <vt:lpstr>2018-06試算表BS</vt:lpstr>
      <vt:lpstr>chinryou_table</vt:lpstr>
      <vt:lpstr>fude</vt:lpstr>
      <vt:lpstr>id_list</vt:lpstr>
      <vt:lpstr>kariire</vt:lpstr>
      <vt:lpstr>kinyushisan</vt:lpstr>
      <vt:lpstr>kinyushisan2</vt:lpstr>
      <vt:lpstr>減価償却!Print_Area</vt:lpstr>
      <vt:lpstr>借入金一覧!Print_Area</vt:lpstr>
      <vt:lpstr>相続関係図!Print_Area</vt:lpstr>
      <vt:lpstr>筆一覧と評価額!Print_Area</vt:lpstr>
      <vt:lpstr>賃料内訳!Print_Titles</vt:lpstr>
      <vt:lpstr>shoukyaku_table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2018-08-29T18:05:02Z</cp:lastPrinted>
  <dcterms:created xsi:type="dcterms:W3CDTF">2018-08-27T04:44:59Z</dcterms:created>
  <dcterms:modified xsi:type="dcterms:W3CDTF">2018-08-29T18:05:55Z</dcterms:modified>
</cp:coreProperties>
</file>